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20" yWindow="165" windowWidth="19110" windowHeight="11715" tabRatio="753" activeTab="1"/>
  </bookViews>
  <sheets>
    <sheet name="Таблица 1" sheetId="1" r:id="rId1"/>
    <sheet name="Таблица 2" sheetId="4" r:id="rId2"/>
  </sheets>
  <definedNames>
    <definedName name="_xlnm._FilterDatabase" localSheetId="0" hidden="1">'Таблица 1'!$A$12:$W$869</definedName>
    <definedName name="_xlnm._FilterDatabase" localSheetId="1" hidden="1">'Таблица 2'!$A$12:$W$103</definedName>
    <definedName name="_xlnm.Print_Titles" localSheetId="0">'Таблица 1'!$10:$10</definedName>
    <definedName name="_xlnm.Print_Titles" localSheetId="1">'Таблица 2'!$10:$10</definedName>
    <definedName name="_xlnm.Print_Area" localSheetId="0">'Таблица 1'!$A$1:$W$885</definedName>
    <definedName name="_xlnm.Print_Area" localSheetId="1">'Таблица 2'!$A$1:$W$113</definedName>
  </definedNames>
  <calcPr calcId="125725"/>
</workbook>
</file>

<file path=xl/calcChain.xml><?xml version="1.0" encoding="utf-8"?>
<calcChain xmlns="http://schemas.openxmlformats.org/spreadsheetml/2006/main">
  <c r="U262" i="1"/>
  <c r="R262"/>
  <c r="O262"/>
  <c r="U261"/>
  <c r="R261"/>
  <c r="O261"/>
  <c r="W260"/>
  <c r="V260"/>
  <c r="T260"/>
  <c r="S260"/>
  <c r="Q260"/>
  <c r="P260"/>
  <c r="N260"/>
  <c r="M260"/>
  <c r="L260"/>
  <c r="U259"/>
  <c r="R259"/>
  <c r="O259"/>
  <c r="U258"/>
  <c r="R258"/>
  <c r="O258"/>
  <c r="U256"/>
  <c r="R256"/>
  <c r="O256"/>
  <c r="U255"/>
  <c r="R255"/>
  <c r="O255"/>
  <c r="U254"/>
  <c r="R254"/>
  <c r="O254"/>
  <c r="U253"/>
  <c r="R253"/>
  <c r="O253"/>
  <c r="U252"/>
  <c r="R252"/>
  <c r="O252"/>
  <c r="U251"/>
  <c r="R251"/>
  <c r="O251"/>
  <c r="U250"/>
  <c r="R250"/>
  <c r="O250"/>
  <c r="U249"/>
  <c r="R249"/>
  <c r="O249"/>
  <c r="U248"/>
  <c r="R248"/>
  <c r="O248"/>
  <c r="U247"/>
  <c r="R247"/>
  <c r="O247"/>
  <c r="U246"/>
  <c r="R246"/>
  <c r="O246"/>
  <c r="U245"/>
  <c r="R245"/>
  <c r="O245"/>
  <c r="U244"/>
  <c r="R244"/>
  <c r="O244"/>
  <c r="W243"/>
  <c r="U243" s="1"/>
  <c r="T243"/>
  <c r="R243" s="1"/>
  <c r="Q243"/>
  <c r="O243" s="1"/>
  <c r="U242"/>
  <c r="R242"/>
  <c r="O242"/>
  <c r="U241"/>
  <c r="R241"/>
  <c r="O241"/>
  <c r="V240"/>
  <c r="S240"/>
  <c r="P240"/>
  <c r="N240"/>
  <c r="M240"/>
  <c r="L240"/>
  <c r="U239"/>
  <c r="R239"/>
  <c r="O239"/>
  <c r="U238"/>
  <c r="R238"/>
  <c r="O238"/>
  <c r="W237"/>
  <c r="V237"/>
  <c r="T237"/>
  <c r="S237"/>
  <c r="Q237"/>
  <c r="P237"/>
  <c r="N237"/>
  <c r="M237"/>
  <c r="L237"/>
  <c r="U233"/>
  <c r="R233"/>
  <c r="O233"/>
  <c r="U232"/>
  <c r="R232"/>
  <c r="O232"/>
  <c r="U231"/>
  <c r="R231"/>
  <c r="O231"/>
  <c r="W230"/>
  <c r="V230"/>
  <c r="T230"/>
  <c r="S230"/>
  <c r="Q230"/>
  <c r="P230"/>
  <c r="N230"/>
  <c r="M230"/>
  <c r="L230"/>
  <c r="R230" l="1"/>
  <c r="L236"/>
  <c r="N236"/>
  <c r="O260"/>
  <c r="U260"/>
  <c r="U237"/>
  <c r="N229"/>
  <c r="N228" s="1"/>
  <c r="O240"/>
  <c r="R260"/>
  <c r="O230"/>
  <c r="U230"/>
  <c r="P236"/>
  <c r="P229" s="1"/>
  <c r="P228" s="1"/>
  <c r="S236"/>
  <c r="S229" s="1"/>
  <c r="S228" s="1"/>
  <c r="R237"/>
  <c r="O237"/>
  <c r="Q240"/>
  <c r="Q236" s="1"/>
  <c r="Q229" s="1"/>
  <c r="Q228" s="1"/>
  <c r="T240"/>
  <c r="T236" s="1"/>
  <c r="T229" s="1"/>
  <c r="T228" s="1"/>
  <c r="R240"/>
  <c r="V236"/>
  <c r="L229"/>
  <c r="L228" s="1"/>
  <c r="V229"/>
  <c r="V228" s="1"/>
  <c r="M236"/>
  <c r="M229" s="1"/>
  <c r="M228" s="1"/>
  <c r="W240"/>
  <c r="W236" s="1"/>
  <c r="W229" s="1"/>
  <c r="W228" s="1"/>
  <c r="U240"/>
  <c r="U236" s="1"/>
  <c r="U229" s="1"/>
  <c r="U228" s="1"/>
  <c r="O236" l="1"/>
  <c r="O229" s="1"/>
  <c r="O228" s="1"/>
  <c r="R236"/>
  <c r="R229" s="1"/>
  <c r="R228" s="1"/>
  <c r="N37" i="4" l="1"/>
  <c r="N86" i="1"/>
  <c r="P86"/>
  <c r="U165"/>
  <c r="U164" s="1"/>
  <c r="R165"/>
  <c r="R164" s="1"/>
  <c r="O165"/>
  <c r="O164" s="1"/>
  <c r="W164"/>
  <c r="V164"/>
  <c r="T164"/>
  <c r="S164"/>
  <c r="Q164"/>
  <c r="P164"/>
  <c r="N164"/>
  <c r="M164"/>
  <c r="L164"/>
  <c r="U163"/>
  <c r="R163"/>
  <c r="O163"/>
  <c r="U162"/>
  <c r="R162"/>
  <c r="O162"/>
  <c r="U161"/>
  <c r="R161"/>
  <c r="O161"/>
  <c r="U160"/>
  <c r="R160"/>
  <c r="O160"/>
  <c r="U159"/>
  <c r="R159"/>
  <c r="O159"/>
  <c r="U158"/>
  <c r="R158"/>
  <c r="O158"/>
  <c r="U157"/>
  <c r="R157"/>
  <c r="O157"/>
  <c r="U156"/>
  <c r="R156"/>
  <c r="O156"/>
  <c r="U155"/>
  <c r="R155"/>
  <c r="O155"/>
  <c r="U154"/>
  <c r="R154"/>
  <c r="O154"/>
  <c r="U153"/>
  <c r="R153"/>
  <c r="O153"/>
  <c r="U152"/>
  <c r="R152"/>
  <c r="O152"/>
  <c r="U151"/>
  <c r="R151"/>
  <c r="O151"/>
  <c r="U150"/>
  <c r="R150"/>
  <c r="O150"/>
  <c r="U149"/>
  <c r="R149"/>
  <c r="O149"/>
  <c r="U148"/>
  <c r="U147" s="1"/>
  <c r="R148"/>
  <c r="O148"/>
  <c r="W147"/>
  <c r="V147"/>
  <c r="T147"/>
  <c r="S147"/>
  <c r="Q147"/>
  <c r="P147"/>
  <c r="N147"/>
  <c r="M147"/>
  <c r="L147"/>
  <c r="U146"/>
  <c r="R146"/>
  <c r="O146"/>
  <c r="U145"/>
  <c r="R145"/>
  <c r="O145"/>
  <c r="O144" s="1"/>
  <c r="W144"/>
  <c r="V144"/>
  <c r="V143" s="1"/>
  <c r="T144"/>
  <c r="T143" s="1"/>
  <c r="S144"/>
  <c r="Q144"/>
  <c r="Q143" s="1"/>
  <c r="P144"/>
  <c r="N144"/>
  <c r="M144"/>
  <c r="M143" s="1"/>
  <c r="L144"/>
  <c r="L143" s="1"/>
  <c r="W143"/>
  <c r="N143"/>
  <c r="U142"/>
  <c r="R142"/>
  <c r="O142"/>
  <c r="U140"/>
  <c r="R140"/>
  <c r="O140"/>
  <c r="U139"/>
  <c r="R139"/>
  <c r="O139"/>
  <c r="W138"/>
  <c r="V138"/>
  <c r="T138"/>
  <c r="S138"/>
  <c r="Q138"/>
  <c r="P138"/>
  <c r="N138"/>
  <c r="M138"/>
  <c r="L138"/>
  <c r="U29" i="4"/>
  <c r="U28" s="1"/>
  <c r="U27" s="1"/>
  <c r="U26" s="1"/>
  <c r="U25" s="1"/>
  <c r="R29"/>
  <c r="O29"/>
  <c r="O28" s="1"/>
  <c r="O27" s="1"/>
  <c r="O26" s="1"/>
  <c r="O25" s="1"/>
  <c r="W28"/>
  <c r="V28"/>
  <c r="T28"/>
  <c r="S28"/>
  <c r="R28"/>
  <c r="Q28"/>
  <c r="P28"/>
  <c r="L28"/>
  <c r="W27"/>
  <c r="V27"/>
  <c r="T27"/>
  <c r="S27"/>
  <c r="R27"/>
  <c r="Q27"/>
  <c r="P27"/>
  <c r="N27"/>
  <c r="M27"/>
  <c r="L27"/>
  <c r="W26"/>
  <c r="V26"/>
  <c r="T26"/>
  <c r="S26"/>
  <c r="R26"/>
  <c r="Q26"/>
  <c r="P26"/>
  <c r="N26"/>
  <c r="M26"/>
  <c r="L26"/>
  <c r="W25"/>
  <c r="V25"/>
  <c r="T25"/>
  <c r="S25"/>
  <c r="R25"/>
  <c r="Q25"/>
  <c r="P25"/>
  <c r="N25"/>
  <c r="M25"/>
  <c r="L25"/>
  <c r="L137" i="1" l="1"/>
  <c r="N137"/>
  <c r="R147"/>
  <c r="P143"/>
  <c r="U138"/>
  <c r="P137"/>
  <c r="P136" s="1"/>
  <c r="W137"/>
  <c r="W136" s="1"/>
  <c r="R138"/>
  <c r="O138"/>
  <c r="S143"/>
  <c r="S137" s="1"/>
  <c r="V137"/>
  <c r="V136" s="1"/>
  <c r="U144"/>
  <c r="U143" s="1"/>
  <c r="T137"/>
  <c r="T136" s="1"/>
  <c r="O147"/>
  <c r="O143" s="1"/>
  <c r="M137"/>
  <c r="Q137"/>
  <c r="Q136" s="1"/>
  <c r="R144"/>
  <c r="R143" s="1"/>
  <c r="S136"/>
  <c r="M136"/>
  <c r="N136"/>
  <c r="L136"/>
  <c r="U137" l="1"/>
  <c r="U136" s="1"/>
  <c r="R137"/>
  <c r="R136" s="1"/>
  <c r="O137"/>
  <c r="O136" s="1"/>
  <c r="U572" l="1"/>
  <c r="U571" s="1"/>
  <c r="R572"/>
  <c r="R571" s="1"/>
  <c r="O572"/>
  <c r="O571" s="1"/>
  <c r="W571"/>
  <c r="V571"/>
  <c r="T571"/>
  <c r="S571"/>
  <c r="Q571"/>
  <c r="P571"/>
  <c r="N571"/>
  <c r="M571"/>
  <c r="L571"/>
  <c r="U570"/>
  <c r="U569" s="1"/>
  <c r="R570"/>
  <c r="O570"/>
  <c r="O569" s="1"/>
  <c r="W569"/>
  <c r="V569"/>
  <c r="T569"/>
  <c r="S569"/>
  <c r="R569"/>
  <c r="Q569"/>
  <c r="P569"/>
  <c r="N569"/>
  <c r="M569"/>
  <c r="L569"/>
  <c r="U568"/>
  <c r="U567" s="1"/>
  <c r="R568"/>
  <c r="R567" s="1"/>
  <c r="O568"/>
  <c r="O567" s="1"/>
  <c r="W567"/>
  <c r="V567"/>
  <c r="T567"/>
  <c r="S567"/>
  <c r="Q567"/>
  <c r="P567"/>
  <c r="N567"/>
  <c r="M567"/>
  <c r="L567"/>
  <c r="U566"/>
  <c r="R566"/>
  <c r="O566"/>
  <c r="U565"/>
  <c r="R565"/>
  <c r="O565"/>
  <c r="W564"/>
  <c r="W563" s="1"/>
  <c r="V564"/>
  <c r="V563" s="1"/>
  <c r="T564"/>
  <c r="T563" s="1"/>
  <c r="S564"/>
  <c r="S563" s="1"/>
  <c r="Q564"/>
  <c r="Q563" s="1"/>
  <c r="P564"/>
  <c r="P563" s="1"/>
  <c r="N564"/>
  <c r="N563" s="1"/>
  <c r="M564"/>
  <c r="M563" s="1"/>
  <c r="L564"/>
  <c r="L563" s="1"/>
  <c r="U562"/>
  <c r="R562"/>
  <c r="O562"/>
  <c r="U561"/>
  <c r="R561"/>
  <c r="O561"/>
  <c r="U560"/>
  <c r="R560"/>
  <c r="O560"/>
  <c r="U559"/>
  <c r="R559"/>
  <c r="O559"/>
  <c r="U558"/>
  <c r="R558"/>
  <c r="O558"/>
  <c r="U557"/>
  <c r="R557"/>
  <c r="O557"/>
  <c r="W556"/>
  <c r="W555" s="1"/>
  <c r="V556"/>
  <c r="T556"/>
  <c r="S556"/>
  <c r="S555" s="1"/>
  <c r="Q556"/>
  <c r="Q555" s="1"/>
  <c r="P556"/>
  <c r="P555" s="1"/>
  <c r="N556"/>
  <c r="N555" s="1"/>
  <c r="M556"/>
  <c r="M555" s="1"/>
  <c r="L556"/>
  <c r="L555" s="1"/>
  <c r="V555"/>
  <c r="T555"/>
  <c r="U554"/>
  <c r="U553" s="1"/>
  <c r="R554"/>
  <c r="O554"/>
  <c r="O553" s="1"/>
  <c r="W553"/>
  <c r="V553"/>
  <c r="T553"/>
  <c r="S553"/>
  <c r="R553"/>
  <c r="Q553"/>
  <c r="P553"/>
  <c r="N553"/>
  <c r="N550" s="1"/>
  <c r="M553"/>
  <c r="L553"/>
  <c r="U552"/>
  <c r="U551" s="1"/>
  <c r="R552"/>
  <c r="R551" s="1"/>
  <c r="O552"/>
  <c r="O551" s="1"/>
  <c r="W551"/>
  <c r="V551"/>
  <c r="T551"/>
  <c r="S551"/>
  <c r="Q551"/>
  <c r="P551"/>
  <c r="M551"/>
  <c r="M550" s="1"/>
  <c r="L551"/>
  <c r="P550"/>
  <c r="U549"/>
  <c r="R549"/>
  <c r="O549"/>
  <c r="U548"/>
  <c r="R548"/>
  <c r="O548"/>
  <c r="M548"/>
  <c r="W547"/>
  <c r="V547"/>
  <c r="T547"/>
  <c r="S547"/>
  <c r="Q547"/>
  <c r="P547"/>
  <c r="N547"/>
  <c r="M547"/>
  <c r="L547"/>
  <c r="T550" l="1"/>
  <c r="W550"/>
  <c r="W546" s="1"/>
  <c r="W545" s="1"/>
  <c r="V550"/>
  <c r="S550"/>
  <c r="S546" s="1"/>
  <c r="S545" s="1"/>
  <c r="U550"/>
  <c r="R550"/>
  <c r="U564"/>
  <c r="U563" s="1"/>
  <c r="U556"/>
  <c r="U555" s="1"/>
  <c r="R556"/>
  <c r="R555" s="1"/>
  <c r="O547"/>
  <c r="U547"/>
  <c r="O556"/>
  <c r="O555" s="1"/>
  <c r="M546"/>
  <c r="M545" s="1"/>
  <c r="L550"/>
  <c r="R564"/>
  <c r="R563" s="1"/>
  <c r="O564"/>
  <c r="O563" s="1"/>
  <c r="L546"/>
  <c r="L545" s="1"/>
  <c r="N546"/>
  <c r="N545" s="1"/>
  <c r="P546"/>
  <c r="P545" s="1"/>
  <c r="R547"/>
  <c r="T546"/>
  <c r="T545" s="1"/>
  <c r="Q550"/>
  <c r="Q546" s="1"/>
  <c r="Q545" s="1"/>
  <c r="V546"/>
  <c r="V545" s="1"/>
  <c r="O550"/>
  <c r="R546" l="1"/>
  <c r="R545" s="1"/>
  <c r="U546"/>
  <c r="U545" s="1"/>
  <c r="O546"/>
  <c r="O545" s="1"/>
  <c r="U135" l="1"/>
  <c r="R135"/>
  <c r="O135"/>
  <c r="U134"/>
  <c r="R134"/>
  <c r="O134"/>
  <c r="U133"/>
  <c r="R133"/>
  <c r="O133"/>
  <c r="W132"/>
  <c r="V132"/>
  <c r="T132"/>
  <c r="S132"/>
  <c r="Q132"/>
  <c r="P132"/>
  <c r="N132"/>
  <c r="M132"/>
  <c r="L132"/>
  <c r="U131"/>
  <c r="R131"/>
  <c r="O131"/>
  <c r="U130"/>
  <c r="R130"/>
  <c r="O130"/>
  <c r="U129"/>
  <c r="R129"/>
  <c r="O129"/>
  <c r="W128"/>
  <c r="U128" s="1"/>
  <c r="T128"/>
  <c r="R128" s="1"/>
  <c r="Q128"/>
  <c r="O128" s="1"/>
  <c r="Q127"/>
  <c r="O127" s="1"/>
  <c r="U126"/>
  <c r="R126"/>
  <c r="O126"/>
  <c r="U125"/>
  <c r="R125"/>
  <c r="O125"/>
  <c r="U123"/>
  <c r="R123"/>
  <c r="O123"/>
  <c r="U122"/>
  <c r="R122"/>
  <c r="O122"/>
  <c r="W121"/>
  <c r="U121" s="1"/>
  <c r="R121"/>
  <c r="O121"/>
  <c r="U120"/>
  <c r="R120"/>
  <c r="O120"/>
  <c r="U119"/>
  <c r="R119"/>
  <c r="O119"/>
  <c r="U118"/>
  <c r="R118"/>
  <c r="O118"/>
  <c r="U117"/>
  <c r="R117"/>
  <c r="O117"/>
  <c r="U116"/>
  <c r="R116"/>
  <c r="O116"/>
  <c r="V115"/>
  <c r="S115"/>
  <c r="P115"/>
  <c r="N115"/>
  <c r="M115"/>
  <c r="L115"/>
  <c r="U114"/>
  <c r="R114"/>
  <c r="O114"/>
  <c r="U113"/>
  <c r="R113"/>
  <c r="O113"/>
  <c r="U112"/>
  <c r="R112"/>
  <c r="O112"/>
  <c r="W111"/>
  <c r="V111"/>
  <c r="V110" s="1"/>
  <c r="T111"/>
  <c r="S111"/>
  <c r="Q111"/>
  <c r="P111"/>
  <c r="N111"/>
  <c r="M111"/>
  <c r="L111"/>
  <c r="U109"/>
  <c r="R109"/>
  <c r="O109"/>
  <c r="U108"/>
  <c r="R108"/>
  <c r="O108"/>
  <c r="U106"/>
  <c r="R106"/>
  <c r="O106"/>
  <c r="W105"/>
  <c r="V105"/>
  <c r="T105"/>
  <c r="S105"/>
  <c r="Q105"/>
  <c r="P105"/>
  <c r="N105"/>
  <c r="M105"/>
  <c r="L105"/>
  <c r="U102"/>
  <c r="R102"/>
  <c r="O102"/>
  <c r="U101"/>
  <c r="R101"/>
  <c r="O101"/>
  <c r="W100"/>
  <c r="W99" s="1"/>
  <c r="V100"/>
  <c r="T100"/>
  <c r="T99" s="1"/>
  <c r="S100"/>
  <c r="S99" s="1"/>
  <c r="Q100"/>
  <c r="Q99" s="1"/>
  <c r="P100"/>
  <c r="P99" s="1"/>
  <c r="N100"/>
  <c r="N99" s="1"/>
  <c r="M100"/>
  <c r="L100"/>
  <c r="L99" s="1"/>
  <c r="M99"/>
  <c r="U98"/>
  <c r="R98"/>
  <c r="O98"/>
  <c r="U96"/>
  <c r="R96"/>
  <c r="O96"/>
  <c r="U95"/>
  <c r="R95"/>
  <c r="O95"/>
  <c r="U94"/>
  <c r="R94"/>
  <c r="O94"/>
  <c r="U93"/>
  <c r="R93"/>
  <c r="O93"/>
  <c r="U92"/>
  <c r="R92"/>
  <c r="O92"/>
  <c r="U91"/>
  <c r="R91"/>
  <c r="O91"/>
  <c r="O89"/>
  <c r="U88"/>
  <c r="R88"/>
  <c r="O88"/>
  <c r="U87"/>
  <c r="R87"/>
  <c r="R84" s="1"/>
  <c r="O87"/>
  <c r="U86"/>
  <c r="R86"/>
  <c r="O86"/>
  <c r="W84"/>
  <c r="V84"/>
  <c r="V83" s="1"/>
  <c r="T84"/>
  <c r="T83" s="1"/>
  <c r="S84"/>
  <c r="Q84"/>
  <c r="Q83" s="1"/>
  <c r="P84"/>
  <c r="N84"/>
  <c r="M84"/>
  <c r="M83" s="1"/>
  <c r="L84"/>
  <c r="L83" s="1"/>
  <c r="W83"/>
  <c r="S83"/>
  <c r="N83"/>
  <c r="U82"/>
  <c r="R82"/>
  <c r="O82"/>
  <c r="U81"/>
  <c r="R81"/>
  <c r="O81"/>
  <c r="W80"/>
  <c r="W79" s="1"/>
  <c r="V80"/>
  <c r="V79" s="1"/>
  <c r="T80"/>
  <c r="S80"/>
  <c r="S79" s="1"/>
  <c r="Q80"/>
  <c r="Q79" s="1"/>
  <c r="P80"/>
  <c r="P79" s="1"/>
  <c r="N80"/>
  <c r="M80"/>
  <c r="M79" s="1"/>
  <c r="L80"/>
  <c r="L79" s="1"/>
  <c r="L78" s="1"/>
  <c r="T79"/>
  <c r="N79"/>
  <c r="U76"/>
  <c r="R76"/>
  <c r="O76"/>
  <c r="U75"/>
  <c r="R75"/>
  <c r="O75"/>
  <c r="U73"/>
  <c r="R73"/>
  <c r="O73"/>
  <c r="W72"/>
  <c r="V72"/>
  <c r="T72"/>
  <c r="S72"/>
  <c r="Q72"/>
  <c r="P72"/>
  <c r="N72"/>
  <c r="M72"/>
  <c r="L72"/>
  <c r="W67"/>
  <c r="W66" s="1"/>
  <c r="V67"/>
  <c r="V66" s="1"/>
  <c r="U67"/>
  <c r="U66" s="1"/>
  <c r="T67"/>
  <c r="T66" s="1"/>
  <c r="S67"/>
  <c r="S66" s="1"/>
  <c r="R67"/>
  <c r="R66" s="1"/>
  <c r="Q67"/>
  <c r="P67"/>
  <c r="P66" s="1"/>
  <c r="O67"/>
  <c r="O66" s="1"/>
  <c r="Q66"/>
  <c r="N66"/>
  <c r="M66"/>
  <c r="L66"/>
  <c r="L53"/>
  <c r="W52"/>
  <c r="V52"/>
  <c r="U52"/>
  <c r="T52"/>
  <c r="S52"/>
  <c r="R52"/>
  <c r="Q52"/>
  <c r="P52"/>
  <c r="O52"/>
  <c r="N52"/>
  <c r="M52"/>
  <c r="L52"/>
  <c r="L49" s="1"/>
  <c r="W50"/>
  <c r="W49" s="1"/>
  <c r="V50"/>
  <c r="V49" s="1"/>
  <c r="U50"/>
  <c r="U49" s="1"/>
  <c r="T50"/>
  <c r="T49" s="1"/>
  <c r="S50"/>
  <c r="S49" s="1"/>
  <c r="R50"/>
  <c r="R49" s="1"/>
  <c r="Q50"/>
  <c r="Q49" s="1"/>
  <c r="P50"/>
  <c r="P49" s="1"/>
  <c r="O50"/>
  <c r="O49" s="1"/>
  <c r="N50"/>
  <c r="N49" s="1"/>
  <c r="M50"/>
  <c r="M49" s="1"/>
  <c r="W44"/>
  <c r="V44"/>
  <c r="U44"/>
  <c r="T44"/>
  <c r="S44"/>
  <c r="R44"/>
  <c r="Q44"/>
  <c r="P44"/>
  <c r="O44"/>
  <c r="N44"/>
  <c r="M44"/>
  <c r="L44"/>
  <c r="U41"/>
  <c r="R41"/>
  <c r="O41"/>
  <c r="U40"/>
  <c r="R40"/>
  <c r="O40"/>
  <c r="W39"/>
  <c r="W38" s="1"/>
  <c r="W37" s="1"/>
  <c r="V39"/>
  <c r="T39"/>
  <c r="S39"/>
  <c r="S38" s="1"/>
  <c r="S37" s="1"/>
  <c r="Q39"/>
  <c r="Q38" s="1"/>
  <c r="Q37" s="1"/>
  <c r="P39"/>
  <c r="P38" s="1"/>
  <c r="P37" s="1"/>
  <c r="N39"/>
  <c r="N38" s="1"/>
  <c r="N37" s="1"/>
  <c r="M39"/>
  <c r="M38" s="1"/>
  <c r="M37" s="1"/>
  <c r="L39"/>
  <c r="L38" s="1"/>
  <c r="L37" s="1"/>
  <c r="V38"/>
  <c r="V37" s="1"/>
  <c r="T38"/>
  <c r="T37" s="1"/>
  <c r="U36"/>
  <c r="R36"/>
  <c r="O36"/>
  <c r="U35"/>
  <c r="R35"/>
  <c r="O35"/>
  <c r="W34"/>
  <c r="V34"/>
  <c r="T34"/>
  <c r="S34"/>
  <c r="Q34"/>
  <c r="P34"/>
  <c r="N34"/>
  <c r="M34"/>
  <c r="L34"/>
  <c r="U33"/>
  <c r="U32" s="1"/>
  <c r="R33"/>
  <c r="O33"/>
  <c r="O32" s="1"/>
  <c r="W32"/>
  <c r="V32"/>
  <c r="T32"/>
  <c r="S32"/>
  <c r="R32"/>
  <c r="Q32"/>
  <c r="P32"/>
  <c r="N32"/>
  <c r="M32"/>
  <c r="L32"/>
  <c r="U31"/>
  <c r="U30" s="1"/>
  <c r="U29" s="1"/>
  <c r="R31"/>
  <c r="R30" s="1"/>
  <c r="R29" s="1"/>
  <c r="O31"/>
  <c r="W30"/>
  <c r="W29" s="1"/>
  <c r="V30"/>
  <c r="T30"/>
  <c r="T29" s="1"/>
  <c r="S30"/>
  <c r="S29" s="1"/>
  <c r="Q30"/>
  <c r="P30"/>
  <c r="P29" s="1"/>
  <c r="O30"/>
  <c r="O29" s="1"/>
  <c r="N30"/>
  <c r="N29" s="1"/>
  <c r="M30"/>
  <c r="L30"/>
  <c r="L29" s="1"/>
  <c r="V29"/>
  <c r="Q29"/>
  <c r="M29"/>
  <c r="U28"/>
  <c r="R28"/>
  <c r="O28"/>
  <c r="M28"/>
  <c r="W27"/>
  <c r="V27"/>
  <c r="U27"/>
  <c r="T27"/>
  <c r="S27"/>
  <c r="R27"/>
  <c r="Q27"/>
  <c r="P27"/>
  <c r="O27"/>
  <c r="N27"/>
  <c r="M27"/>
  <c r="L27"/>
  <c r="W26"/>
  <c r="V26"/>
  <c r="U26"/>
  <c r="T26"/>
  <c r="S26"/>
  <c r="R26"/>
  <c r="Q26"/>
  <c r="P26"/>
  <c r="O26"/>
  <c r="N26"/>
  <c r="M26"/>
  <c r="L26"/>
  <c r="U25"/>
  <c r="R25"/>
  <c r="O25"/>
  <c r="W24"/>
  <c r="U24"/>
  <c r="T24"/>
  <c r="S24"/>
  <c r="R24" s="1"/>
  <c r="Q24"/>
  <c r="O24"/>
  <c r="N24"/>
  <c r="M24"/>
  <c r="L24"/>
  <c r="U23"/>
  <c r="U22" s="1"/>
  <c r="R23"/>
  <c r="O23"/>
  <c r="O22" s="1"/>
  <c r="W22"/>
  <c r="V22"/>
  <c r="T22"/>
  <c r="S22"/>
  <c r="R22"/>
  <c r="Q22"/>
  <c r="P22"/>
  <c r="N22"/>
  <c r="M22"/>
  <c r="L22"/>
  <c r="U21"/>
  <c r="U20" s="1"/>
  <c r="R21"/>
  <c r="R20" s="1"/>
  <c r="O21"/>
  <c r="W20"/>
  <c r="V20"/>
  <c r="T20"/>
  <c r="S20"/>
  <c r="S19" s="1"/>
  <c r="Q20"/>
  <c r="P20"/>
  <c r="O20"/>
  <c r="N20"/>
  <c r="M20"/>
  <c r="L20"/>
  <c r="T19"/>
  <c r="U18"/>
  <c r="R18"/>
  <c r="O18"/>
  <c r="U17"/>
  <c r="R17"/>
  <c r="O17"/>
  <c r="U16"/>
  <c r="R16"/>
  <c r="O16"/>
  <c r="W15"/>
  <c r="V15"/>
  <c r="T15"/>
  <c r="S15"/>
  <c r="Q15"/>
  <c r="P15"/>
  <c r="N15"/>
  <c r="M15"/>
  <c r="L15"/>
  <c r="U103" i="4"/>
  <c r="R103"/>
  <c r="O103"/>
  <c r="O102"/>
  <c r="U101"/>
  <c r="U100" s="1"/>
  <c r="U99" s="1"/>
  <c r="R101"/>
  <c r="R100" s="1"/>
  <c r="R99" s="1"/>
  <c r="O101"/>
  <c r="W100"/>
  <c r="V100"/>
  <c r="V99" s="1"/>
  <c r="T100"/>
  <c r="T99" s="1"/>
  <c r="S100"/>
  <c r="Q100"/>
  <c r="Q99" s="1"/>
  <c r="P100"/>
  <c r="O100"/>
  <c r="O99" s="1"/>
  <c r="N100"/>
  <c r="M100"/>
  <c r="M99" s="1"/>
  <c r="L100"/>
  <c r="W99"/>
  <c r="S99"/>
  <c r="P99"/>
  <c r="N99"/>
  <c r="L99"/>
  <c r="U98"/>
  <c r="U97" s="1"/>
  <c r="U96" s="1"/>
  <c r="R98"/>
  <c r="R97" s="1"/>
  <c r="R96" s="1"/>
  <c r="O98"/>
  <c r="O97" s="1"/>
  <c r="O96" s="1"/>
  <c r="W97"/>
  <c r="W96" s="1"/>
  <c r="V97"/>
  <c r="V96" s="1"/>
  <c r="T97"/>
  <c r="T96" s="1"/>
  <c r="S97"/>
  <c r="S96" s="1"/>
  <c r="Q97"/>
  <c r="Q96" s="1"/>
  <c r="P97"/>
  <c r="N97"/>
  <c r="N96" s="1"/>
  <c r="M97"/>
  <c r="M96" s="1"/>
  <c r="L97"/>
  <c r="L96" s="1"/>
  <c r="P96"/>
  <c r="U95"/>
  <c r="R95"/>
  <c r="O95"/>
  <c r="U94"/>
  <c r="R94"/>
  <c r="O94"/>
  <c r="W93"/>
  <c r="W89" s="1"/>
  <c r="V93"/>
  <c r="T93"/>
  <c r="T89" s="1"/>
  <c r="S93"/>
  <c r="Q93"/>
  <c r="Q89" s="1"/>
  <c r="P93"/>
  <c r="N93"/>
  <c r="M93"/>
  <c r="L93"/>
  <c r="U92"/>
  <c r="R92"/>
  <c r="O92"/>
  <c r="U91"/>
  <c r="R91"/>
  <c r="O91"/>
  <c r="V90"/>
  <c r="U90" s="1"/>
  <c r="S90"/>
  <c r="P90"/>
  <c r="O90" s="1"/>
  <c r="N90"/>
  <c r="M90"/>
  <c r="M89" s="1"/>
  <c r="L90"/>
  <c r="L89" s="1"/>
  <c r="V89"/>
  <c r="N89"/>
  <c r="N88" s="1"/>
  <c r="N87" s="1"/>
  <c r="U86"/>
  <c r="R86"/>
  <c r="O86"/>
  <c r="U85"/>
  <c r="R85"/>
  <c r="O85"/>
  <c r="U84"/>
  <c r="R84"/>
  <c r="O84"/>
  <c r="U83"/>
  <c r="R83"/>
  <c r="O83"/>
  <c r="U82"/>
  <c r="R82"/>
  <c r="O82"/>
  <c r="U81"/>
  <c r="R81"/>
  <c r="O81"/>
  <c r="U80"/>
  <c r="R80"/>
  <c r="O80"/>
  <c r="U79"/>
  <c r="R79"/>
  <c r="O79"/>
  <c r="U78"/>
  <c r="R78"/>
  <c r="O78"/>
  <c r="U77"/>
  <c r="R77"/>
  <c r="O77"/>
  <c r="U76"/>
  <c r="R76"/>
  <c r="O76"/>
  <c r="U75"/>
  <c r="R75"/>
  <c r="O75"/>
  <c r="U74"/>
  <c r="R74"/>
  <c r="O74"/>
  <c r="W73"/>
  <c r="V73"/>
  <c r="T73"/>
  <c r="S73"/>
  <c r="Q73"/>
  <c r="P73"/>
  <c r="N73"/>
  <c r="M73"/>
  <c r="L73"/>
  <c r="U72"/>
  <c r="R72"/>
  <c r="O72"/>
  <c r="U71"/>
  <c r="R71"/>
  <c r="O71"/>
  <c r="W70"/>
  <c r="W69" s="1"/>
  <c r="W68" s="1"/>
  <c r="V70"/>
  <c r="V69" s="1"/>
  <c r="T70"/>
  <c r="T69" s="1"/>
  <c r="S70"/>
  <c r="S69" s="1"/>
  <c r="Q70"/>
  <c r="Q69" s="1"/>
  <c r="P70"/>
  <c r="P69" s="1"/>
  <c r="N70"/>
  <c r="N69" s="1"/>
  <c r="M70"/>
  <c r="M69" s="1"/>
  <c r="L70"/>
  <c r="L69" s="1"/>
  <c r="L68" s="1"/>
  <c r="U67"/>
  <c r="U66" s="1"/>
  <c r="R67"/>
  <c r="R66" s="1"/>
  <c r="O67"/>
  <c r="O66" s="1"/>
  <c r="W66"/>
  <c r="V66"/>
  <c r="T66"/>
  <c r="S66"/>
  <c r="Q66"/>
  <c r="P66"/>
  <c r="N66"/>
  <c r="M66"/>
  <c r="L66"/>
  <c r="U65"/>
  <c r="R65"/>
  <c r="O65"/>
  <c r="U64"/>
  <c r="R64"/>
  <c r="O64"/>
  <c r="W63"/>
  <c r="V63"/>
  <c r="T63"/>
  <c r="S63"/>
  <c r="Q63"/>
  <c r="P63"/>
  <c r="N63"/>
  <c r="M63"/>
  <c r="L63"/>
  <c r="W61"/>
  <c r="V61"/>
  <c r="U61"/>
  <c r="T61"/>
  <c r="S61"/>
  <c r="R61"/>
  <c r="Q61"/>
  <c r="P61"/>
  <c r="O61"/>
  <c r="N61"/>
  <c r="N60" s="1"/>
  <c r="M61"/>
  <c r="M60" s="1"/>
  <c r="L61"/>
  <c r="L60" s="1"/>
  <c r="U59"/>
  <c r="R59"/>
  <c r="O59"/>
  <c r="U58"/>
  <c r="R58"/>
  <c r="O58"/>
  <c r="W57"/>
  <c r="V57"/>
  <c r="T57"/>
  <c r="S57"/>
  <c r="Q57"/>
  <c r="P57"/>
  <c r="N57"/>
  <c r="M57"/>
  <c r="L57"/>
  <c r="U56"/>
  <c r="R56"/>
  <c r="O56"/>
  <c r="U55"/>
  <c r="R55"/>
  <c r="O55"/>
  <c r="U54"/>
  <c r="R54"/>
  <c r="O54"/>
  <c r="U53"/>
  <c r="R53"/>
  <c r="O53"/>
  <c r="W52"/>
  <c r="V52"/>
  <c r="T52"/>
  <c r="S52"/>
  <c r="Q52"/>
  <c r="P52"/>
  <c r="N52"/>
  <c r="M52"/>
  <c r="L52"/>
  <c r="U51"/>
  <c r="R51"/>
  <c r="O51"/>
  <c r="U50"/>
  <c r="R50"/>
  <c r="O50"/>
  <c r="W49"/>
  <c r="V49"/>
  <c r="T49"/>
  <c r="S49"/>
  <c r="Q49"/>
  <c r="P49"/>
  <c r="N49"/>
  <c r="M49"/>
  <c r="L49"/>
  <c r="U46"/>
  <c r="R46"/>
  <c r="O46"/>
  <c r="U45"/>
  <c r="R45"/>
  <c r="O45"/>
  <c r="W44"/>
  <c r="W43" s="1"/>
  <c r="V44"/>
  <c r="V43" s="1"/>
  <c r="T44"/>
  <c r="T43" s="1"/>
  <c r="S44"/>
  <c r="S43" s="1"/>
  <c r="Q44"/>
  <c r="Q43" s="1"/>
  <c r="P44"/>
  <c r="P43" s="1"/>
  <c r="N44"/>
  <c r="N43" s="1"/>
  <c r="M44"/>
  <c r="M43" s="1"/>
  <c r="L44"/>
  <c r="L43" s="1"/>
  <c r="U42"/>
  <c r="R42"/>
  <c r="O42"/>
  <c r="N42"/>
  <c r="M42"/>
  <c r="U41"/>
  <c r="R41"/>
  <c r="O41"/>
  <c r="L41"/>
  <c r="U40"/>
  <c r="R40"/>
  <c r="O40"/>
  <c r="L40"/>
  <c r="U39"/>
  <c r="R39"/>
  <c r="O39"/>
  <c r="N39"/>
  <c r="M39"/>
  <c r="L39"/>
  <c r="W38"/>
  <c r="V38"/>
  <c r="T38"/>
  <c r="S38"/>
  <c r="Q38"/>
  <c r="P38"/>
  <c r="U37"/>
  <c r="R37"/>
  <c r="O37"/>
  <c r="M37"/>
  <c r="U36"/>
  <c r="R36"/>
  <c r="O36"/>
  <c r="L36"/>
  <c r="U35"/>
  <c r="R35"/>
  <c r="O35"/>
  <c r="L35"/>
  <c r="U34"/>
  <c r="R34"/>
  <c r="O34"/>
  <c r="N34"/>
  <c r="M34"/>
  <c r="L34"/>
  <c r="W33"/>
  <c r="V33"/>
  <c r="T33"/>
  <c r="S33"/>
  <c r="Q33"/>
  <c r="P33"/>
  <c r="U24"/>
  <c r="U23" s="1"/>
  <c r="U22" s="1"/>
  <c r="R24"/>
  <c r="R23" s="1"/>
  <c r="R22" s="1"/>
  <c r="O24"/>
  <c r="W23"/>
  <c r="W22" s="1"/>
  <c r="V23"/>
  <c r="V22" s="1"/>
  <c r="T23"/>
  <c r="T22" s="1"/>
  <c r="S23"/>
  <c r="S22" s="1"/>
  <c r="Q23"/>
  <c r="P23"/>
  <c r="P22" s="1"/>
  <c r="N23"/>
  <c r="N22" s="1"/>
  <c r="M23"/>
  <c r="M22" s="1"/>
  <c r="L23"/>
  <c r="L22" s="1"/>
  <c r="U21"/>
  <c r="U20" s="1"/>
  <c r="U19" s="1"/>
  <c r="R21"/>
  <c r="R20" s="1"/>
  <c r="R19" s="1"/>
  <c r="R18" s="1"/>
  <c r="O21"/>
  <c r="O20" s="1"/>
  <c r="O19" s="1"/>
  <c r="O18" s="1"/>
  <c r="W20"/>
  <c r="W19" s="1"/>
  <c r="W18" s="1"/>
  <c r="W17" s="1"/>
  <c r="V20"/>
  <c r="V19" s="1"/>
  <c r="V18" s="1"/>
  <c r="T20"/>
  <c r="T19" s="1"/>
  <c r="T18" s="1"/>
  <c r="T17" s="1"/>
  <c r="T16" s="1"/>
  <c r="T15" s="1"/>
  <c r="T14" s="1"/>
  <c r="S20"/>
  <c r="S19" s="1"/>
  <c r="S18" s="1"/>
  <c r="Q20"/>
  <c r="Q19" s="1"/>
  <c r="Q18" s="1"/>
  <c r="Q17" s="1"/>
  <c r="P20"/>
  <c r="P19" s="1"/>
  <c r="N20"/>
  <c r="N19" s="1"/>
  <c r="N18" s="1"/>
  <c r="M20"/>
  <c r="M19" s="1"/>
  <c r="L20"/>
  <c r="L19" s="1"/>
  <c r="V16"/>
  <c r="V15" s="1"/>
  <c r="S16"/>
  <c r="S15" s="1"/>
  <c r="P16"/>
  <c r="P15" s="1"/>
  <c r="N16"/>
  <c r="N15" s="1"/>
  <c r="M16"/>
  <c r="M15" s="1"/>
  <c r="L16"/>
  <c r="L15" s="1"/>
  <c r="U869" i="1"/>
  <c r="U868" s="1"/>
  <c r="R869"/>
  <c r="R868" s="1"/>
  <c r="O869"/>
  <c r="O868" s="1"/>
  <c r="W868"/>
  <c r="V868"/>
  <c r="T868"/>
  <c r="S868"/>
  <c r="Q868"/>
  <c r="P868"/>
  <c r="N868"/>
  <c r="M868"/>
  <c r="L868"/>
  <c r="U866"/>
  <c r="U865" s="1"/>
  <c r="R866"/>
  <c r="R865" s="1"/>
  <c r="O866"/>
  <c r="O865" s="1"/>
  <c r="W865"/>
  <c r="V865"/>
  <c r="T865"/>
  <c r="S865"/>
  <c r="Q865"/>
  <c r="P865"/>
  <c r="N865"/>
  <c r="M865"/>
  <c r="L865"/>
  <c r="N862"/>
  <c r="N860" s="1"/>
  <c r="N859" s="1"/>
  <c r="M862"/>
  <c r="M860" s="1"/>
  <c r="M859" s="1"/>
  <c r="U861"/>
  <c r="U860" s="1"/>
  <c r="U859" s="1"/>
  <c r="R861"/>
  <c r="O861"/>
  <c r="W860"/>
  <c r="W859" s="1"/>
  <c r="V860"/>
  <c r="V859" s="1"/>
  <c r="T860"/>
  <c r="T859" s="1"/>
  <c r="S860"/>
  <c r="R860"/>
  <c r="R859" s="1"/>
  <c r="Q860"/>
  <c r="Q859" s="1"/>
  <c r="P860"/>
  <c r="P859" s="1"/>
  <c r="O860"/>
  <c r="O859" s="1"/>
  <c r="L860"/>
  <c r="L859" s="1"/>
  <c r="S859"/>
  <c r="U858"/>
  <c r="U857" s="1"/>
  <c r="R858"/>
  <c r="R857" s="1"/>
  <c r="O858"/>
  <c r="O857" s="1"/>
  <c r="W857"/>
  <c r="V857"/>
  <c r="T857"/>
  <c r="S857"/>
  <c r="Q857"/>
  <c r="P857"/>
  <c r="N857"/>
  <c r="M857"/>
  <c r="L857"/>
  <c r="U856"/>
  <c r="R856"/>
  <c r="O856"/>
  <c r="U854"/>
  <c r="R854"/>
  <c r="O854"/>
  <c r="U853"/>
  <c r="R853"/>
  <c r="O853"/>
  <c r="U852"/>
  <c r="R852"/>
  <c r="O852"/>
  <c r="U851"/>
  <c r="R851"/>
  <c r="O851"/>
  <c r="U849"/>
  <c r="R849"/>
  <c r="O849"/>
  <c r="U848"/>
  <c r="U847" s="1"/>
  <c r="R848"/>
  <c r="O848"/>
  <c r="W847"/>
  <c r="V847"/>
  <c r="T847"/>
  <c r="S847"/>
  <c r="R847"/>
  <c r="Q847"/>
  <c r="P847"/>
  <c r="O847"/>
  <c r="N847"/>
  <c r="M847"/>
  <c r="L847"/>
  <c r="U846"/>
  <c r="R846"/>
  <c r="O846"/>
  <c r="U845"/>
  <c r="U844" s="1"/>
  <c r="R845"/>
  <c r="R844" s="1"/>
  <c r="O845"/>
  <c r="O844" s="1"/>
  <c r="W844"/>
  <c r="V844"/>
  <c r="T844"/>
  <c r="S844"/>
  <c r="Q844"/>
  <c r="P844"/>
  <c r="P842" s="1"/>
  <c r="N844"/>
  <c r="M844"/>
  <c r="L844"/>
  <c r="U843"/>
  <c r="R843"/>
  <c r="O843"/>
  <c r="U841"/>
  <c r="R841"/>
  <c r="O841"/>
  <c r="U840"/>
  <c r="R840"/>
  <c r="O840"/>
  <c r="U839"/>
  <c r="R839"/>
  <c r="O839"/>
  <c r="U838"/>
  <c r="R838"/>
  <c r="O838"/>
  <c r="W837"/>
  <c r="V837"/>
  <c r="T837"/>
  <c r="S837"/>
  <c r="Q837"/>
  <c r="P837"/>
  <c r="N837"/>
  <c r="M837"/>
  <c r="L837"/>
  <c r="U835"/>
  <c r="R835"/>
  <c r="O835"/>
  <c r="U834"/>
  <c r="R834"/>
  <c r="O834"/>
  <c r="U833"/>
  <c r="R833"/>
  <c r="O833"/>
  <c r="U832"/>
  <c r="R832"/>
  <c r="O832"/>
  <c r="U831"/>
  <c r="R831"/>
  <c r="O831"/>
  <c r="O830"/>
  <c r="U829"/>
  <c r="U828" s="1"/>
  <c r="R829"/>
  <c r="O829"/>
  <c r="W828"/>
  <c r="V828"/>
  <c r="T828"/>
  <c r="S828"/>
  <c r="R828"/>
  <c r="Q828"/>
  <c r="P828"/>
  <c r="N828"/>
  <c r="M828"/>
  <c r="L828"/>
  <c r="U827"/>
  <c r="R827"/>
  <c r="P827"/>
  <c r="O827" s="1"/>
  <c r="N827"/>
  <c r="M827"/>
  <c r="U826"/>
  <c r="R826"/>
  <c r="O826"/>
  <c r="R825"/>
  <c r="O825"/>
  <c r="U824"/>
  <c r="R824"/>
  <c r="O824"/>
  <c r="U823"/>
  <c r="R823"/>
  <c r="O823"/>
  <c r="U822"/>
  <c r="R822"/>
  <c r="O822"/>
  <c r="U821"/>
  <c r="R821"/>
  <c r="O821"/>
  <c r="W820"/>
  <c r="V820"/>
  <c r="T820"/>
  <c r="S820"/>
  <c r="Q820"/>
  <c r="P820"/>
  <c r="N820"/>
  <c r="M820"/>
  <c r="L820"/>
  <c r="U819"/>
  <c r="R819"/>
  <c r="O819"/>
  <c r="U818"/>
  <c r="R818"/>
  <c r="O818"/>
  <c r="U817"/>
  <c r="R817"/>
  <c r="O817"/>
  <c r="W816"/>
  <c r="V816"/>
  <c r="V814" s="1"/>
  <c r="V813" s="1"/>
  <c r="T816"/>
  <c r="S816"/>
  <c r="Q816"/>
  <c r="P816"/>
  <c r="N816"/>
  <c r="M816"/>
  <c r="L816"/>
  <c r="O815"/>
  <c r="U812"/>
  <c r="R812"/>
  <c r="O812"/>
  <c r="U810"/>
  <c r="R810"/>
  <c r="O810"/>
  <c r="U809"/>
  <c r="R809"/>
  <c r="O809"/>
  <c r="W808"/>
  <c r="V808"/>
  <c r="T808"/>
  <c r="S808"/>
  <c r="Q808"/>
  <c r="P808"/>
  <c r="N808"/>
  <c r="M808"/>
  <c r="L808"/>
  <c r="U807"/>
  <c r="U805" s="1"/>
  <c r="R807"/>
  <c r="O807"/>
  <c r="W805"/>
  <c r="V805"/>
  <c r="T805"/>
  <c r="S805"/>
  <c r="R805"/>
  <c r="Q805"/>
  <c r="P805"/>
  <c r="O805"/>
  <c r="N805"/>
  <c r="M805"/>
  <c r="L805"/>
  <c r="U802"/>
  <c r="U800" s="1"/>
  <c r="R802"/>
  <c r="R800" s="1"/>
  <c r="O802"/>
  <c r="O800" s="1"/>
  <c r="W800"/>
  <c r="V800"/>
  <c r="T800"/>
  <c r="S800"/>
  <c r="Q800"/>
  <c r="P800"/>
  <c r="N800"/>
  <c r="M800"/>
  <c r="L800"/>
  <c r="U799"/>
  <c r="R799"/>
  <c r="O799"/>
  <c r="U796"/>
  <c r="U794" s="1"/>
  <c r="U793" s="1"/>
  <c r="R796"/>
  <c r="O796"/>
  <c r="O794" s="1"/>
  <c r="O793" s="1"/>
  <c r="W794"/>
  <c r="V794"/>
  <c r="V793" s="1"/>
  <c r="T794"/>
  <c r="T793" s="1"/>
  <c r="S794"/>
  <c r="R794"/>
  <c r="Q794"/>
  <c r="P794"/>
  <c r="P793" s="1"/>
  <c r="N794"/>
  <c r="N793" s="1"/>
  <c r="M794"/>
  <c r="M793" s="1"/>
  <c r="L794"/>
  <c r="W793"/>
  <c r="S793"/>
  <c r="R793"/>
  <c r="Q793"/>
  <c r="L793"/>
  <c r="U792"/>
  <c r="U791" s="1"/>
  <c r="R792"/>
  <c r="R791" s="1"/>
  <c r="O792"/>
  <c r="O791" s="1"/>
  <c r="W791"/>
  <c r="V791"/>
  <c r="T791"/>
  <c r="S791"/>
  <c r="Q791"/>
  <c r="Q790" s="1"/>
  <c r="P791"/>
  <c r="N791"/>
  <c r="M791"/>
  <c r="L791"/>
  <c r="U789"/>
  <c r="U788" s="1"/>
  <c r="R789"/>
  <c r="R788" s="1"/>
  <c r="O789"/>
  <c r="O788" s="1"/>
  <c r="W788"/>
  <c r="V788"/>
  <c r="T788"/>
  <c r="S788"/>
  <c r="Q788"/>
  <c r="P788"/>
  <c r="N788"/>
  <c r="M788"/>
  <c r="L788"/>
  <c r="U787"/>
  <c r="R787"/>
  <c r="O787"/>
  <c r="U786"/>
  <c r="R786"/>
  <c r="O786"/>
  <c r="W785"/>
  <c r="V785"/>
  <c r="T785"/>
  <c r="S785"/>
  <c r="Q785"/>
  <c r="P785"/>
  <c r="N785"/>
  <c r="M785"/>
  <c r="L785"/>
  <c r="U782"/>
  <c r="R782"/>
  <c r="O782"/>
  <c r="U781"/>
  <c r="R781"/>
  <c r="O781"/>
  <c r="U780"/>
  <c r="R780"/>
  <c r="O780"/>
  <c r="U779"/>
  <c r="R779"/>
  <c r="O779"/>
  <c r="U778"/>
  <c r="R778"/>
  <c r="O778"/>
  <c r="U777"/>
  <c r="R777"/>
  <c r="O777"/>
  <c r="U776"/>
  <c r="R776"/>
  <c r="O776"/>
  <c r="U775"/>
  <c r="R775"/>
  <c r="O775"/>
  <c r="U774"/>
  <c r="R774"/>
  <c r="O774"/>
  <c r="U773"/>
  <c r="R773"/>
  <c r="O773"/>
  <c r="U772"/>
  <c r="R772"/>
  <c r="O772"/>
  <c r="U771"/>
  <c r="R771"/>
  <c r="O771"/>
  <c r="W770"/>
  <c r="V770"/>
  <c r="T770"/>
  <c r="T768" s="1"/>
  <c r="T767" s="1"/>
  <c r="S770"/>
  <c r="Q770"/>
  <c r="Q768" s="1"/>
  <c r="Q767" s="1"/>
  <c r="P770"/>
  <c r="P768" s="1"/>
  <c r="P767" s="1"/>
  <c r="N770"/>
  <c r="N768" s="1"/>
  <c r="N767" s="1"/>
  <c r="M770"/>
  <c r="L770"/>
  <c r="L768" s="1"/>
  <c r="L767" s="1"/>
  <c r="U769"/>
  <c r="R769"/>
  <c r="O769"/>
  <c r="W768"/>
  <c r="W767" s="1"/>
  <c r="V768"/>
  <c r="V767" s="1"/>
  <c r="S768"/>
  <c r="S767" s="1"/>
  <c r="M768"/>
  <c r="M767" s="1"/>
  <c r="U766"/>
  <c r="R766"/>
  <c r="O766"/>
  <c r="U765"/>
  <c r="R765"/>
  <c r="O765"/>
  <c r="U764"/>
  <c r="R764"/>
  <c r="O764"/>
  <c r="W763"/>
  <c r="V763"/>
  <c r="T763"/>
  <c r="S763"/>
  <c r="Q763"/>
  <c r="P763"/>
  <c r="N763"/>
  <c r="M763"/>
  <c r="L763"/>
  <c r="U761"/>
  <c r="R761"/>
  <c r="O761"/>
  <c r="U760"/>
  <c r="R760"/>
  <c r="O760"/>
  <c r="U759"/>
  <c r="R759"/>
  <c r="O759"/>
  <c r="W758"/>
  <c r="V758"/>
  <c r="T758"/>
  <c r="S758"/>
  <c r="Q758"/>
  <c r="P758"/>
  <c r="N758"/>
  <c r="M758"/>
  <c r="L758"/>
  <c r="U757"/>
  <c r="R757"/>
  <c r="O757"/>
  <c r="U756"/>
  <c r="R756"/>
  <c r="O756"/>
  <c r="U755"/>
  <c r="R755"/>
  <c r="O755"/>
  <c r="U754"/>
  <c r="R754"/>
  <c r="O754"/>
  <c r="U753"/>
  <c r="R753"/>
  <c r="O753"/>
  <c r="U752"/>
  <c r="R752"/>
  <c r="O752"/>
  <c r="U751"/>
  <c r="R751"/>
  <c r="O751"/>
  <c r="U750"/>
  <c r="R750"/>
  <c r="O750"/>
  <c r="U749"/>
  <c r="U747" s="1"/>
  <c r="R749"/>
  <c r="O749"/>
  <c r="L748"/>
  <c r="W747"/>
  <c r="V747"/>
  <c r="T747"/>
  <c r="S747"/>
  <c r="Q747"/>
  <c r="P747"/>
  <c r="N747"/>
  <c r="M747"/>
  <c r="L747"/>
  <c r="U746"/>
  <c r="U745" s="1"/>
  <c r="R746"/>
  <c r="O746"/>
  <c r="O745" s="1"/>
  <c r="W745"/>
  <c r="V745"/>
  <c r="T745"/>
  <c r="T744" s="1"/>
  <c r="S745"/>
  <c r="R745"/>
  <c r="Q745"/>
  <c r="P745"/>
  <c r="N745"/>
  <c r="M745"/>
  <c r="L745"/>
  <c r="W744"/>
  <c r="U743"/>
  <c r="R743"/>
  <c r="O743"/>
  <c r="U742"/>
  <c r="R742"/>
  <c r="O742"/>
  <c r="U741"/>
  <c r="R741"/>
  <c r="O741"/>
  <c r="U740"/>
  <c r="R740"/>
  <c r="O740"/>
  <c r="W739"/>
  <c r="V739"/>
  <c r="T739"/>
  <c r="S739"/>
  <c r="Q739"/>
  <c r="P739"/>
  <c r="N739"/>
  <c r="M739"/>
  <c r="L739"/>
  <c r="U737"/>
  <c r="R737"/>
  <c r="O737"/>
  <c r="U736"/>
  <c r="R736"/>
  <c r="O736"/>
  <c r="U735"/>
  <c r="R735"/>
  <c r="O735"/>
  <c r="U734"/>
  <c r="R734"/>
  <c r="O734"/>
  <c r="U733"/>
  <c r="R733"/>
  <c r="O733"/>
  <c r="W732"/>
  <c r="W731" s="1"/>
  <c r="V732"/>
  <c r="V731" s="1"/>
  <c r="T732"/>
  <c r="T731" s="1"/>
  <c r="S732"/>
  <c r="Q732"/>
  <c r="P732"/>
  <c r="N732"/>
  <c r="N731" s="1"/>
  <c r="M732"/>
  <c r="M731" s="1"/>
  <c r="L732"/>
  <c r="L731" s="1"/>
  <c r="Q731"/>
  <c r="U728"/>
  <c r="U727" s="1"/>
  <c r="R728"/>
  <c r="R727" s="1"/>
  <c r="O728"/>
  <c r="O727" s="1"/>
  <c r="W727"/>
  <c r="V727"/>
  <c r="T727"/>
  <c r="S727"/>
  <c r="Q727"/>
  <c r="P727"/>
  <c r="N727"/>
  <c r="M727"/>
  <c r="L727"/>
  <c r="U726"/>
  <c r="R726"/>
  <c r="O726"/>
  <c r="U725"/>
  <c r="R725"/>
  <c r="O725"/>
  <c r="U724"/>
  <c r="R724"/>
  <c r="O724"/>
  <c r="W723"/>
  <c r="W722" s="1"/>
  <c r="V723"/>
  <c r="V722" s="1"/>
  <c r="T723"/>
  <c r="T722" s="1"/>
  <c r="S723"/>
  <c r="S722" s="1"/>
  <c r="Q723"/>
  <c r="Q722" s="1"/>
  <c r="P723"/>
  <c r="P722" s="1"/>
  <c r="N723"/>
  <c r="M723"/>
  <c r="M722" s="1"/>
  <c r="L723"/>
  <c r="L722" s="1"/>
  <c r="N722"/>
  <c r="L718"/>
  <c r="W717"/>
  <c r="V717"/>
  <c r="U717"/>
  <c r="T717"/>
  <c r="S717"/>
  <c r="R717"/>
  <c r="Q717"/>
  <c r="P717"/>
  <c r="O717"/>
  <c r="N717"/>
  <c r="M717"/>
  <c r="L717"/>
  <c r="W712"/>
  <c r="V712"/>
  <c r="U712"/>
  <c r="T712"/>
  <c r="S712"/>
  <c r="R712"/>
  <c r="Q712"/>
  <c r="P712"/>
  <c r="O712"/>
  <c r="N712"/>
  <c r="M712"/>
  <c r="L712"/>
  <c r="W710"/>
  <c r="V710"/>
  <c r="U710"/>
  <c r="T710"/>
  <c r="S710"/>
  <c r="R710"/>
  <c r="Q710"/>
  <c r="P710"/>
  <c r="O710"/>
  <c r="N710"/>
  <c r="M710"/>
  <c r="L710"/>
  <c r="W708"/>
  <c r="V708"/>
  <c r="U708"/>
  <c r="T708"/>
  <c r="S708"/>
  <c r="R708"/>
  <c r="Q708"/>
  <c r="P708"/>
  <c r="O708"/>
  <c r="N708"/>
  <c r="M708"/>
  <c r="L708"/>
  <c r="W705"/>
  <c r="V705"/>
  <c r="U705"/>
  <c r="T705"/>
  <c r="S705"/>
  <c r="R705"/>
  <c r="Q705"/>
  <c r="P705"/>
  <c r="O705"/>
  <c r="N705"/>
  <c r="N704" s="1"/>
  <c r="M705"/>
  <c r="M704" s="1"/>
  <c r="L705"/>
  <c r="W704"/>
  <c r="V704"/>
  <c r="U704"/>
  <c r="T704"/>
  <c r="S704"/>
  <c r="R704"/>
  <c r="Q704"/>
  <c r="P704"/>
  <c r="O704"/>
  <c r="L704"/>
  <c r="N687"/>
  <c r="M687"/>
  <c r="N686"/>
  <c r="M686"/>
  <c r="N678"/>
  <c r="M678"/>
  <c r="L678"/>
  <c r="N677"/>
  <c r="M677"/>
  <c r="L677"/>
  <c r="L676"/>
  <c r="L675"/>
  <c r="N673"/>
  <c r="M673"/>
  <c r="N672"/>
  <c r="M672"/>
  <c r="N670"/>
  <c r="M670"/>
  <c r="L668"/>
  <c r="N667"/>
  <c r="M667"/>
  <c r="L667"/>
  <c r="N666"/>
  <c r="M666"/>
  <c r="L666"/>
  <c r="L664"/>
  <c r="N660"/>
  <c r="M660"/>
  <c r="L660"/>
  <c r="N659"/>
  <c r="M659"/>
  <c r="L659"/>
  <c r="L658"/>
  <c r="L656"/>
  <c r="W653"/>
  <c r="V653"/>
  <c r="U653"/>
  <c r="T653"/>
  <c r="S653"/>
  <c r="R653"/>
  <c r="Q653"/>
  <c r="P653"/>
  <c r="O653"/>
  <c r="V643"/>
  <c r="V640" s="1"/>
  <c r="V639" s="1"/>
  <c r="V638" s="1"/>
  <c r="U643"/>
  <c r="U640" s="1"/>
  <c r="S643"/>
  <c r="S640" s="1"/>
  <c r="R643"/>
  <c r="R640" s="1"/>
  <c r="P643"/>
  <c r="P640" s="1"/>
  <c r="O643"/>
  <c r="O640" s="1"/>
  <c r="W640"/>
  <c r="T640"/>
  <c r="Q640"/>
  <c r="N640"/>
  <c r="M640"/>
  <c r="L640"/>
  <c r="W634"/>
  <c r="V634"/>
  <c r="U634"/>
  <c r="T634"/>
  <c r="S634"/>
  <c r="R634"/>
  <c r="Q634"/>
  <c r="P634"/>
  <c r="O634"/>
  <c r="N634"/>
  <c r="M634"/>
  <c r="L634"/>
  <c r="W633"/>
  <c r="V633"/>
  <c r="U633"/>
  <c r="T633"/>
  <c r="S633"/>
  <c r="R633"/>
  <c r="Q633"/>
  <c r="P633"/>
  <c r="O633"/>
  <c r="N633"/>
  <c r="M633"/>
  <c r="L633"/>
  <c r="N631"/>
  <c r="M631"/>
  <c r="L631"/>
  <c r="W630"/>
  <c r="V630"/>
  <c r="U630"/>
  <c r="T630"/>
  <c r="S630"/>
  <c r="R630"/>
  <c r="Q630"/>
  <c r="P630"/>
  <c r="O630"/>
  <c r="N630"/>
  <c r="M630"/>
  <c r="L630"/>
  <c r="L629"/>
  <c r="N628"/>
  <c r="M628"/>
  <c r="L628"/>
  <c r="N627"/>
  <c r="M627"/>
  <c r="L627"/>
  <c r="W626"/>
  <c r="V626"/>
  <c r="U626"/>
  <c r="T626"/>
  <c r="S626"/>
  <c r="R626"/>
  <c r="Q626"/>
  <c r="P626"/>
  <c r="O626"/>
  <c r="N624"/>
  <c r="M624"/>
  <c r="L624"/>
  <c r="N622"/>
  <c r="M622"/>
  <c r="L622"/>
  <c r="W621"/>
  <c r="V621"/>
  <c r="U621"/>
  <c r="T621"/>
  <c r="S621"/>
  <c r="R621"/>
  <c r="Q621"/>
  <c r="P621"/>
  <c r="O621"/>
  <c r="U618"/>
  <c r="U617" s="1"/>
  <c r="R618"/>
  <c r="R617" s="1"/>
  <c r="O618"/>
  <c r="O617" s="1"/>
  <c r="W617"/>
  <c r="V617"/>
  <c r="T617"/>
  <c r="S617"/>
  <c r="Q617"/>
  <c r="P617"/>
  <c r="N617"/>
  <c r="M617"/>
  <c r="L617"/>
  <c r="U616"/>
  <c r="R616"/>
  <c r="O616"/>
  <c r="U615"/>
  <c r="R615"/>
  <c r="O615"/>
  <c r="L615"/>
  <c r="L596" s="1"/>
  <c r="U614"/>
  <c r="R614"/>
  <c r="O614"/>
  <c r="U613"/>
  <c r="R613"/>
  <c r="O613"/>
  <c r="U612"/>
  <c r="R612"/>
  <c r="O612"/>
  <c r="U611"/>
  <c r="R611"/>
  <c r="O611"/>
  <c r="U610"/>
  <c r="R610"/>
  <c r="O610"/>
  <c r="U609"/>
  <c r="R609"/>
  <c r="O609"/>
  <c r="U608"/>
  <c r="R608"/>
  <c r="O608"/>
  <c r="U607"/>
  <c r="R607"/>
  <c r="O607"/>
  <c r="U606"/>
  <c r="R606"/>
  <c r="O606"/>
  <c r="U605"/>
  <c r="R605"/>
  <c r="O605"/>
  <c r="U604"/>
  <c r="R604"/>
  <c r="O604"/>
  <c r="U603"/>
  <c r="R603"/>
  <c r="O603"/>
  <c r="U602"/>
  <c r="R602"/>
  <c r="O602"/>
  <c r="U601"/>
  <c r="R601"/>
  <c r="O601"/>
  <c r="U600"/>
  <c r="R600"/>
  <c r="O600"/>
  <c r="U599"/>
  <c r="R599"/>
  <c r="O599"/>
  <c r="U598"/>
  <c r="R598"/>
  <c r="O598"/>
  <c r="U597"/>
  <c r="R597"/>
  <c r="O597"/>
  <c r="W596"/>
  <c r="V596"/>
  <c r="T596"/>
  <c r="S596"/>
  <c r="Q596"/>
  <c r="P596"/>
  <c r="N596"/>
  <c r="M596"/>
  <c r="U595"/>
  <c r="R595"/>
  <c r="O595"/>
  <c r="U594"/>
  <c r="R594"/>
  <c r="O594"/>
  <c r="U593"/>
  <c r="R593"/>
  <c r="O593"/>
  <c r="U592"/>
  <c r="R592"/>
  <c r="O592"/>
  <c r="U591"/>
  <c r="R591"/>
  <c r="O591"/>
  <c r="U590"/>
  <c r="R590"/>
  <c r="O590"/>
  <c r="W589"/>
  <c r="V589"/>
  <c r="T589"/>
  <c r="S589"/>
  <c r="Q589"/>
  <c r="P589"/>
  <c r="N589"/>
  <c r="M589"/>
  <c r="L589"/>
  <c r="W585"/>
  <c r="V585"/>
  <c r="U585"/>
  <c r="U584" s="1"/>
  <c r="T585"/>
  <c r="T584" s="1"/>
  <c r="S585"/>
  <c r="S584" s="1"/>
  <c r="R585"/>
  <c r="R584" s="1"/>
  <c r="Q585"/>
  <c r="P585"/>
  <c r="P584" s="1"/>
  <c r="O585"/>
  <c r="O584" s="1"/>
  <c r="N585"/>
  <c r="N584" s="1"/>
  <c r="M585"/>
  <c r="M584" s="1"/>
  <c r="L585"/>
  <c r="L584" s="1"/>
  <c r="W584"/>
  <c r="V584"/>
  <c r="Q584"/>
  <c r="U582"/>
  <c r="R582"/>
  <c r="O582"/>
  <c r="U581"/>
  <c r="R581"/>
  <c r="O581"/>
  <c r="U580"/>
  <c r="R580"/>
  <c r="O580"/>
  <c r="N580"/>
  <c r="M580"/>
  <c r="M575" s="1"/>
  <c r="U579"/>
  <c r="R579"/>
  <c r="O579"/>
  <c r="U578"/>
  <c r="R578"/>
  <c r="O578"/>
  <c r="U577"/>
  <c r="R577"/>
  <c r="O577"/>
  <c r="U576"/>
  <c r="R576"/>
  <c r="O576"/>
  <c r="W575"/>
  <c r="V575"/>
  <c r="T575"/>
  <c r="S575"/>
  <c r="Q575"/>
  <c r="P575"/>
  <c r="N575"/>
  <c r="L575"/>
  <c r="U544"/>
  <c r="R544"/>
  <c r="O544"/>
  <c r="U543"/>
  <c r="R543"/>
  <c r="O543"/>
  <c r="U542"/>
  <c r="R542"/>
  <c r="O542"/>
  <c r="U541"/>
  <c r="R541"/>
  <c r="O541"/>
  <c r="W540"/>
  <c r="V540"/>
  <c r="T540"/>
  <c r="S540"/>
  <c r="Q540"/>
  <c r="P540"/>
  <c r="N540"/>
  <c r="M540"/>
  <c r="L540"/>
  <c r="U539"/>
  <c r="R539"/>
  <c r="O539"/>
  <c r="U538"/>
  <c r="R538"/>
  <c r="O538"/>
  <c r="U537"/>
  <c r="R537"/>
  <c r="O537"/>
  <c r="U536"/>
  <c r="R536"/>
  <c r="O536"/>
  <c r="U535"/>
  <c r="R535"/>
  <c r="O535"/>
  <c r="U534"/>
  <c r="R534"/>
  <c r="O534"/>
  <c r="U533"/>
  <c r="R533"/>
  <c r="O533"/>
  <c r="U532"/>
  <c r="R532"/>
  <c r="O532"/>
  <c r="U531"/>
  <c r="R531"/>
  <c r="O531"/>
  <c r="U530"/>
  <c r="R530"/>
  <c r="O530"/>
  <c r="U529"/>
  <c r="R529"/>
  <c r="O529"/>
  <c r="U528"/>
  <c r="R528"/>
  <c r="O528"/>
  <c r="U527"/>
  <c r="R527"/>
  <c r="O527"/>
  <c r="W526"/>
  <c r="V526"/>
  <c r="T526"/>
  <c r="S526"/>
  <c r="Q526"/>
  <c r="P526"/>
  <c r="N526"/>
  <c r="M526"/>
  <c r="L526"/>
  <c r="U525"/>
  <c r="R525"/>
  <c r="O525"/>
  <c r="U524"/>
  <c r="R524"/>
  <c r="O524"/>
  <c r="W523"/>
  <c r="V523"/>
  <c r="T523"/>
  <c r="S523"/>
  <c r="Q523"/>
  <c r="P523"/>
  <c r="N523"/>
  <c r="M523"/>
  <c r="L523"/>
  <c r="U522"/>
  <c r="R522"/>
  <c r="O522"/>
  <c r="U521"/>
  <c r="R521"/>
  <c r="O521"/>
  <c r="U520"/>
  <c r="R520"/>
  <c r="O520"/>
  <c r="U519"/>
  <c r="R519"/>
  <c r="O519"/>
  <c r="U518"/>
  <c r="R518"/>
  <c r="O518"/>
  <c r="U517"/>
  <c r="R517"/>
  <c r="O517"/>
  <c r="W516"/>
  <c r="V516"/>
  <c r="T516"/>
  <c r="S516"/>
  <c r="Q516"/>
  <c r="P516"/>
  <c r="N516"/>
  <c r="M516"/>
  <c r="L516"/>
  <c r="U514"/>
  <c r="R514"/>
  <c r="O514"/>
  <c r="U513"/>
  <c r="R513"/>
  <c r="O513"/>
  <c r="U512"/>
  <c r="R512"/>
  <c r="O512"/>
  <c r="U511"/>
  <c r="R511"/>
  <c r="O511"/>
  <c r="W510"/>
  <c r="V510"/>
  <c r="T510"/>
  <c r="S510"/>
  <c r="Q510"/>
  <c r="P510"/>
  <c r="N510"/>
  <c r="M510"/>
  <c r="L510"/>
  <c r="U509"/>
  <c r="R509"/>
  <c r="O509"/>
  <c r="U508"/>
  <c r="R508"/>
  <c r="O508"/>
  <c r="U507"/>
  <c r="R507"/>
  <c r="O507"/>
  <c r="W506"/>
  <c r="V506"/>
  <c r="T506"/>
  <c r="S506"/>
  <c r="Q506"/>
  <c r="P506"/>
  <c r="N506"/>
  <c r="M506"/>
  <c r="L506"/>
  <c r="U505"/>
  <c r="R505"/>
  <c r="O505"/>
  <c r="U504"/>
  <c r="R504"/>
  <c r="O504"/>
  <c r="U503"/>
  <c r="R503"/>
  <c r="O503"/>
  <c r="W502"/>
  <c r="V502"/>
  <c r="T502"/>
  <c r="S502"/>
  <c r="Q502"/>
  <c r="P502"/>
  <c r="N502"/>
  <c r="M502"/>
  <c r="L502"/>
  <c r="U501"/>
  <c r="R501"/>
  <c r="O501"/>
  <c r="U500"/>
  <c r="R500"/>
  <c r="O500"/>
  <c r="U499"/>
  <c r="R499"/>
  <c r="O499"/>
  <c r="U498"/>
  <c r="R498"/>
  <c r="O498"/>
  <c r="U497"/>
  <c r="R497"/>
  <c r="O497"/>
  <c r="W496"/>
  <c r="V496"/>
  <c r="T496"/>
  <c r="S496"/>
  <c r="Q496"/>
  <c r="P496"/>
  <c r="N496"/>
  <c r="M496"/>
  <c r="L496"/>
  <c r="U492"/>
  <c r="R492"/>
  <c r="O492"/>
  <c r="U491"/>
  <c r="R491"/>
  <c r="O491"/>
  <c r="U490"/>
  <c r="R490"/>
  <c r="O490"/>
  <c r="W489"/>
  <c r="W488" s="1"/>
  <c r="V489"/>
  <c r="V488" s="1"/>
  <c r="T489"/>
  <c r="T488" s="1"/>
  <c r="S489"/>
  <c r="S488" s="1"/>
  <c r="Q489"/>
  <c r="Q488" s="1"/>
  <c r="P489"/>
  <c r="P488" s="1"/>
  <c r="N489"/>
  <c r="N488" s="1"/>
  <c r="M489"/>
  <c r="M488" s="1"/>
  <c r="L489"/>
  <c r="L488" s="1"/>
  <c r="U487"/>
  <c r="U486" s="1"/>
  <c r="R487"/>
  <c r="R486" s="1"/>
  <c r="O487"/>
  <c r="O486" s="1"/>
  <c r="W486"/>
  <c r="V486"/>
  <c r="T486"/>
  <c r="S486"/>
  <c r="Q486"/>
  <c r="P486"/>
  <c r="N486"/>
  <c r="M486"/>
  <c r="L486"/>
  <c r="U485"/>
  <c r="U484" s="1"/>
  <c r="R485"/>
  <c r="R484" s="1"/>
  <c r="O485"/>
  <c r="O484" s="1"/>
  <c r="W484"/>
  <c r="V484"/>
  <c r="T484"/>
  <c r="S484"/>
  <c r="Q484"/>
  <c r="P484"/>
  <c r="N484"/>
  <c r="M484"/>
  <c r="L484"/>
  <c r="U483"/>
  <c r="R483"/>
  <c r="O483"/>
  <c r="U482"/>
  <c r="R482"/>
  <c r="O482"/>
  <c r="W481"/>
  <c r="V481"/>
  <c r="T481"/>
  <c r="S481"/>
  <c r="Q481"/>
  <c r="P481"/>
  <c r="N481"/>
  <c r="M481"/>
  <c r="L481"/>
  <c r="U480"/>
  <c r="R480"/>
  <c r="O480"/>
  <c r="U479"/>
  <c r="R479"/>
  <c r="O479"/>
  <c r="U478"/>
  <c r="R478"/>
  <c r="O478"/>
  <c r="U477"/>
  <c r="R477"/>
  <c r="O477"/>
  <c r="W476"/>
  <c r="V476"/>
  <c r="T476"/>
  <c r="S476"/>
  <c r="Q476"/>
  <c r="P476"/>
  <c r="N476"/>
  <c r="M476"/>
  <c r="L476"/>
  <c r="U474"/>
  <c r="R474"/>
  <c r="O474"/>
  <c r="U473"/>
  <c r="R473"/>
  <c r="O473"/>
  <c r="U472"/>
  <c r="R472"/>
  <c r="O472"/>
  <c r="U471"/>
  <c r="R471"/>
  <c r="O471"/>
  <c r="W470"/>
  <c r="V470"/>
  <c r="T470"/>
  <c r="S470"/>
  <c r="Q470"/>
  <c r="P470"/>
  <c r="N470"/>
  <c r="M470"/>
  <c r="L470"/>
  <c r="U467"/>
  <c r="R467"/>
  <c r="O467"/>
  <c r="U466"/>
  <c r="R466"/>
  <c r="O466"/>
  <c r="U465"/>
  <c r="R465"/>
  <c r="O465"/>
  <c r="U464"/>
  <c r="R464"/>
  <c r="O464"/>
  <c r="U463"/>
  <c r="R463"/>
  <c r="O463"/>
  <c r="U462"/>
  <c r="R462"/>
  <c r="O462"/>
  <c r="U461"/>
  <c r="R461"/>
  <c r="O461"/>
  <c r="U460"/>
  <c r="R460"/>
  <c r="O460"/>
  <c r="U459"/>
  <c r="R459"/>
  <c r="O459"/>
  <c r="U458"/>
  <c r="R458"/>
  <c r="O458"/>
  <c r="U457"/>
  <c r="R457"/>
  <c r="O457"/>
  <c r="U456"/>
  <c r="R456"/>
  <c r="O456"/>
  <c r="U455"/>
  <c r="R455"/>
  <c r="O455"/>
  <c r="U454"/>
  <c r="R454"/>
  <c r="O454"/>
  <c r="U453"/>
  <c r="R453"/>
  <c r="O453"/>
  <c r="U452"/>
  <c r="R452"/>
  <c r="O452"/>
  <c r="U451"/>
  <c r="R451"/>
  <c r="O451"/>
  <c r="U450"/>
  <c r="R450"/>
  <c r="O450"/>
  <c r="U449"/>
  <c r="R449"/>
  <c r="O449"/>
  <c r="U448"/>
  <c r="R448"/>
  <c r="O448"/>
  <c r="W447"/>
  <c r="V447"/>
  <c r="T447"/>
  <c r="S447"/>
  <c r="Q447"/>
  <c r="P447"/>
  <c r="N447"/>
  <c r="M447"/>
  <c r="L447"/>
  <c r="U446"/>
  <c r="R446"/>
  <c r="O446"/>
  <c r="U445"/>
  <c r="R445"/>
  <c r="O445"/>
  <c r="U444"/>
  <c r="R444"/>
  <c r="O444"/>
  <c r="U443"/>
  <c r="R443"/>
  <c r="O443"/>
  <c r="U442"/>
  <c r="R442"/>
  <c r="O442"/>
  <c r="U441"/>
  <c r="R441"/>
  <c r="O441"/>
  <c r="U440"/>
  <c r="R440"/>
  <c r="O440"/>
  <c r="U439"/>
  <c r="R439"/>
  <c r="O439"/>
  <c r="U438"/>
  <c r="R438"/>
  <c r="O438"/>
  <c r="U437"/>
  <c r="R437"/>
  <c r="O437"/>
  <c r="U436"/>
  <c r="R436"/>
  <c r="O436"/>
  <c r="U435"/>
  <c r="R435"/>
  <c r="O435"/>
  <c r="U434"/>
  <c r="R434"/>
  <c r="O434"/>
  <c r="U433"/>
  <c r="R433"/>
  <c r="O433"/>
  <c r="U432"/>
  <c r="R432"/>
  <c r="O432"/>
  <c r="U431"/>
  <c r="R431"/>
  <c r="O431"/>
  <c r="U430"/>
  <c r="R430"/>
  <c r="O430"/>
  <c r="U429"/>
  <c r="R429"/>
  <c r="O429"/>
  <c r="U428"/>
  <c r="R428"/>
  <c r="O428"/>
  <c r="U427"/>
  <c r="R427"/>
  <c r="O427"/>
  <c r="U426"/>
  <c r="R426"/>
  <c r="O426"/>
  <c r="U425"/>
  <c r="R425"/>
  <c r="O425"/>
  <c r="U424"/>
  <c r="R424"/>
  <c r="O424"/>
  <c r="U423"/>
  <c r="R423"/>
  <c r="O423"/>
  <c r="U422"/>
  <c r="R422"/>
  <c r="O422"/>
  <c r="U421"/>
  <c r="R421"/>
  <c r="O421"/>
  <c r="U420"/>
  <c r="R420"/>
  <c r="O420"/>
  <c r="U419"/>
  <c r="R419"/>
  <c r="O419"/>
  <c r="U418"/>
  <c r="R418"/>
  <c r="O418"/>
  <c r="W417"/>
  <c r="V417"/>
  <c r="T417"/>
  <c r="S417"/>
  <c r="Q417"/>
  <c r="P417"/>
  <c r="N417"/>
  <c r="M417"/>
  <c r="L417"/>
  <c r="U416"/>
  <c r="R416"/>
  <c r="U415"/>
  <c r="R415"/>
  <c r="O415"/>
  <c r="U414"/>
  <c r="R414"/>
  <c r="O414"/>
  <c r="U413"/>
  <c r="R413"/>
  <c r="O413"/>
  <c r="U412"/>
  <c r="R412"/>
  <c r="U411"/>
  <c r="R411"/>
  <c r="O411"/>
  <c r="U410"/>
  <c r="R410"/>
  <c r="U409"/>
  <c r="R409"/>
  <c r="O409"/>
  <c r="U408"/>
  <c r="R408"/>
  <c r="O408"/>
  <c r="U407"/>
  <c r="R407"/>
  <c r="O407"/>
  <c r="U406"/>
  <c r="R406"/>
  <c r="O406"/>
  <c r="U405"/>
  <c r="R405"/>
  <c r="O405"/>
  <c r="U404"/>
  <c r="R404"/>
  <c r="O404"/>
  <c r="U403"/>
  <c r="R403"/>
  <c r="O403"/>
  <c r="U402"/>
  <c r="R402"/>
  <c r="O402"/>
  <c r="U401"/>
  <c r="R401"/>
  <c r="O401"/>
  <c r="U400"/>
  <c r="R400"/>
  <c r="O400"/>
  <c r="U399"/>
  <c r="R399"/>
  <c r="O399"/>
  <c r="U398"/>
  <c r="R398"/>
  <c r="O398"/>
  <c r="W397"/>
  <c r="V397"/>
  <c r="T397"/>
  <c r="S397"/>
  <c r="Q397"/>
  <c r="P397"/>
  <c r="N397"/>
  <c r="M397"/>
  <c r="L397"/>
  <c r="U394"/>
  <c r="R394"/>
  <c r="O394"/>
  <c r="U393"/>
  <c r="R393"/>
  <c r="O393"/>
  <c r="U392"/>
  <c r="R392"/>
  <c r="O392"/>
  <c r="U391"/>
  <c r="R391"/>
  <c r="O391"/>
  <c r="U390"/>
  <c r="R390"/>
  <c r="O390"/>
  <c r="U389"/>
  <c r="R389"/>
  <c r="O389"/>
  <c r="L389"/>
  <c r="U388"/>
  <c r="R388"/>
  <c r="O388"/>
  <c r="U387"/>
  <c r="R387"/>
  <c r="O387"/>
  <c r="U386"/>
  <c r="R386"/>
  <c r="O386"/>
  <c r="U385"/>
  <c r="R385"/>
  <c r="O385"/>
  <c r="L385"/>
  <c r="W384"/>
  <c r="V384"/>
  <c r="T384"/>
  <c r="T383" s="1"/>
  <c r="S384"/>
  <c r="S383" s="1"/>
  <c r="Q384"/>
  <c r="Q383" s="1"/>
  <c r="P384"/>
  <c r="P383" s="1"/>
  <c r="N384"/>
  <c r="N383" s="1"/>
  <c r="M384"/>
  <c r="M383" s="1"/>
  <c r="W383"/>
  <c r="V383"/>
  <c r="U382"/>
  <c r="U381" s="1"/>
  <c r="R382"/>
  <c r="R381" s="1"/>
  <c r="O382"/>
  <c r="O381" s="1"/>
  <c r="W381"/>
  <c r="V381"/>
  <c r="T381"/>
  <c r="S381"/>
  <c r="Q381"/>
  <c r="P381"/>
  <c r="N381"/>
  <c r="M381"/>
  <c r="L381"/>
  <c r="U380"/>
  <c r="R380"/>
  <c r="O380"/>
  <c r="N380"/>
  <c r="M380"/>
  <c r="U379"/>
  <c r="R379"/>
  <c r="O379"/>
  <c r="U378"/>
  <c r="R378"/>
  <c r="O378"/>
  <c r="N378"/>
  <c r="M378"/>
  <c r="M377" s="1"/>
  <c r="W377"/>
  <c r="V377"/>
  <c r="T377"/>
  <c r="S377"/>
  <c r="Q377"/>
  <c r="P377"/>
  <c r="N377"/>
  <c r="L377"/>
  <c r="U376"/>
  <c r="R376"/>
  <c r="O376"/>
  <c r="U375"/>
  <c r="R375"/>
  <c r="O375"/>
  <c r="N375"/>
  <c r="N372" s="1"/>
  <c r="M375"/>
  <c r="M372" s="1"/>
  <c r="L375"/>
  <c r="L372" s="1"/>
  <c r="U374"/>
  <c r="R374"/>
  <c r="O374"/>
  <c r="U373"/>
  <c r="R373"/>
  <c r="O373"/>
  <c r="W372"/>
  <c r="V372"/>
  <c r="T372"/>
  <c r="S372"/>
  <c r="Q372"/>
  <c r="P372"/>
  <c r="W367"/>
  <c r="V367"/>
  <c r="U367"/>
  <c r="T367"/>
  <c r="S367"/>
  <c r="R367"/>
  <c r="Q367"/>
  <c r="P367"/>
  <c r="O367"/>
  <c r="N367"/>
  <c r="M367"/>
  <c r="L367"/>
  <c r="W364"/>
  <c r="W363" s="1"/>
  <c r="W362" s="1"/>
  <c r="V364"/>
  <c r="V363" s="1"/>
  <c r="V362" s="1"/>
  <c r="U364"/>
  <c r="U363" s="1"/>
  <c r="U362" s="1"/>
  <c r="T364"/>
  <c r="T363" s="1"/>
  <c r="T362" s="1"/>
  <c r="S364"/>
  <c r="R364"/>
  <c r="Q364"/>
  <c r="Q363" s="1"/>
  <c r="Q362" s="1"/>
  <c r="P364"/>
  <c r="P363" s="1"/>
  <c r="P362" s="1"/>
  <c r="O364"/>
  <c r="O363" s="1"/>
  <c r="O362" s="1"/>
  <c r="N364"/>
  <c r="N363" s="1"/>
  <c r="N362" s="1"/>
  <c r="M364"/>
  <c r="M363" s="1"/>
  <c r="M362" s="1"/>
  <c r="L364"/>
  <c r="L363" s="1"/>
  <c r="L362" s="1"/>
  <c r="S363"/>
  <c r="S362" s="1"/>
  <c r="R363"/>
  <c r="R362" s="1"/>
  <c r="U361"/>
  <c r="U360" s="1"/>
  <c r="U359" s="1"/>
  <c r="R361"/>
  <c r="R360" s="1"/>
  <c r="R359" s="1"/>
  <c r="O361"/>
  <c r="W360"/>
  <c r="W359" s="1"/>
  <c r="V360"/>
  <c r="V359" s="1"/>
  <c r="T360"/>
  <c r="T359" s="1"/>
  <c r="Q360"/>
  <c r="Q359" s="1"/>
  <c r="N360"/>
  <c r="N359" s="1"/>
  <c r="M360"/>
  <c r="M359" s="1"/>
  <c r="L360"/>
  <c r="L359" s="1"/>
  <c r="S359"/>
  <c r="P359"/>
  <c r="U358"/>
  <c r="R358"/>
  <c r="O358"/>
  <c r="U357"/>
  <c r="R357"/>
  <c r="O357"/>
  <c r="U356"/>
  <c r="R356"/>
  <c r="O356"/>
  <c r="U355"/>
  <c r="R355"/>
  <c r="O355"/>
  <c r="U354"/>
  <c r="R354"/>
  <c r="O354"/>
  <c r="U353"/>
  <c r="R353"/>
  <c r="O353"/>
  <c r="W352"/>
  <c r="W351" s="1"/>
  <c r="V352"/>
  <c r="V351" s="1"/>
  <c r="T352"/>
  <c r="T351" s="1"/>
  <c r="S352"/>
  <c r="S351" s="1"/>
  <c r="Q352"/>
  <c r="Q351" s="1"/>
  <c r="P352"/>
  <c r="P351" s="1"/>
  <c r="N352"/>
  <c r="N351" s="1"/>
  <c r="M352"/>
  <c r="M351" s="1"/>
  <c r="L352"/>
  <c r="L351" s="1"/>
  <c r="U349"/>
  <c r="R349"/>
  <c r="O349"/>
  <c r="U347"/>
  <c r="R347"/>
  <c r="O347"/>
  <c r="W346"/>
  <c r="W345" s="1"/>
  <c r="V346"/>
  <c r="V345" s="1"/>
  <c r="T346"/>
  <c r="T345" s="1"/>
  <c r="S346"/>
  <c r="S345" s="1"/>
  <c r="Q346"/>
  <c r="Q345" s="1"/>
  <c r="P346"/>
  <c r="P345" s="1"/>
  <c r="N346"/>
  <c r="N345" s="1"/>
  <c r="M346"/>
  <c r="M345" s="1"/>
  <c r="L346"/>
  <c r="L345" s="1"/>
  <c r="U343"/>
  <c r="R343"/>
  <c r="O343"/>
  <c r="U341"/>
  <c r="R341"/>
  <c r="O341"/>
  <c r="U339"/>
  <c r="R339"/>
  <c r="O339"/>
  <c r="W338"/>
  <c r="V338"/>
  <c r="T338"/>
  <c r="S338"/>
  <c r="Q338"/>
  <c r="P338"/>
  <c r="N338"/>
  <c r="M338"/>
  <c r="L338"/>
  <c r="U335"/>
  <c r="R335"/>
  <c r="O335"/>
  <c r="W334"/>
  <c r="W328" s="1"/>
  <c r="V334"/>
  <c r="T334"/>
  <c r="S334"/>
  <c r="S328" s="1"/>
  <c r="Q334"/>
  <c r="P334"/>
  <c r="P328" s="1"/>
  <c r="U333"/>
  <c r="R333"/>
  <c r="O333"/>
  <c r="U332"/>
  <c r="R332"/>
  <c r="O332"/>
  <c r="U331"/>
  <c r="R331"/>
  <c r="O331"/>
  <c r="U330"/>
  <c r="R330"/>
  <c r="O330"/>
  <c r="U329"/>
  <c r="R329"/>
  <c r="O329"/>
  <c r="N328"/>
  <c r="M328"/>
  <c r="L328"/>
  <c r="U327"/>
  <c r="R327"/>
  <c r="O327"/>
  <c r="U326"/>
  <c r="R326"/>
  <c r="O326"/>
  <c r="W325"/>
  <c r="V325"/>
  <c r="T325"/>
  <c r="S325"/>
  <c r="Q325"/>
  <c r="P325"/>
  <c r="N325"/>
  <c r="M325"/>
  <c r="L325"/>
  <c r="U323"/>
  <c r="R323"/>
  <c r="O323"/>
  <c r="U322"/>
  <c r="R322"/>
  <c r="O322"/>
  <c r="U321"/>
  <c r="R321"/>
  <c r="O321"/>
  <c r="U320"/>
  <c r="R320"/>
  <c r="O320"/>
  <c r="W319"/>
  <c r="V319"/>
  <c r="T319"/>
  <c r="S319"/>
  <c r="Q319"/>
  <c r="P319"/>
  <c r="N319"/>
  <c r="M319"/>
  <c r="L319"/>
  <c r="U316"/>
  <c r="U315" s="1"/>
  <c r="U314" s="1"/>
  <c r="R316"/>
  <c r="R315" s="1"/>
  <c r="R314" s="1"/>
  <c r="O316"/>
  <c r="O315" s="1"/>
  <c r="O314" s="1"/>
  <c r="W315"/>
  <c r="W314" s="1"/>
  <c r="V315"/>
  <c r="V314" s="1"/>
  <c r="T315"/>
  <c r="T314" s="1"/>
  <c r="S315"/>
  <c r="S314" s="1"/>
  <c r="Q315"/>
  <c r="Q314" s="1"/>
  <c r="P315"/>
  <c r="P314" s="1"/>
  <c r="N315"/>
  <c r="N314" s="1"/>
  <c r="M315"/>
  <c r="M314" s="1"/>
  <c r="L315"/>
  <c r="L314" s="1"/>
  <c r="U313"/>
  <c r="R313"/>
  <c r="O313"/>
  <c r="U312"/>
  <c r="R312"/>
  <c r="O312"/>
  <c r="U311"/>
  <c r="R311"/>
  <c r="O311"/>
  <c r="U310"/>
  <c r="R310"/>
  <c r="O310"/>
  <c r="U309"/>
  <c r="R309"/>
  <c r="O309"/>
  <c r="U308"/>
  <c r="R308"/>
  <c r="O308"/>
  <c r="U307"/>
  <c r="R307"/>
  <c r="O307"/>
  <c r="U306"/>
  <c r="R306"/>
  <c r="O306"/>
  <c r="U305"/>
  <c r="R305"/>
  <c r="O305"/>
  <c r="W304"/>
  <c r="W303" s="1"/>
  <c r="V304"/>
  <c r="V303" s="1"/>
  <c r="T304"/>
  <c r="T303" s="1"/>
  <c r="S304"/>
  <c r="S303" s="1"/>
  <c r="Q304"/>
  <c r="Q303" s="1"/>
  <c r="P304"/>
  <c r="P303" s="1"/>
  <c r="N304"/>
  <c r="N303" s="1"/>
  <c r="M304"/>
  <c r="M303" s="1"/>
  <c r="L304"/>
  <c r="L303" s="1"/>
  <c r="U302"/>
  <c r="R302"/>
  <c r="O302"/>
  <c r="U301"/>
  <c r="R301"/>
  <c r="O301"/>
  <c r="N301"/>
  <c r="N300" s="1"/>
  <c r="W300"/>
  <c r="V300"/>
  <c r="T300"/>
  <c r="S300"/>
  <c r="Q300"/>
  <c r="P300"/>
  <c r="M300"/>
  <c r="L300"/>
  <c r="W299"/>
  <c r="V299"/>
  <c r="T299"/>
  <c r="S299"/>
  <c r="Q299"/>
  <c r="P299"/>
  <c r="M299"/>
  <c r="L299"/>
  <c r="U296"/>
  <c r="R296"/>
  <c r="O296"/>
  <c r="U294"/>
  <c r="R294"/>
  <c r="O294"/>
  <c r="M294"/>
  <c r="M293" s="1"/>
  <c r="L294"/>
  <c r="L293" s="1"/>
  <c r="V293"/>
  <c r="S293"/>
  <c r="P293"/>
  <c r="N293"/>
  <c r="U290"/>
  <c r="R290"/>
  <c r="O290"/>
  <c r="O289" s="1"/>
  <c r="U289"/>
  <c r="R289"/>
  <c r="Q289"/>
  <c r="N289"/>
  <c r="M289"/>
  <c r="L289"/>
  <c r="O288"/>
  <c r="O287"/>
  <c r="U286"/>
  <c r="R286"/>
  <c r="O286"/>
  <c r="U285"/>
  <c r="R285"/>
  <c r="O285"/>
  <c r="R283"/>
  <c r="O283"/>
  <c r="U282"/>
  <c r="R282"/>
  <c r="O282"/>
  <c r="U281"/>
  <c r="R281"/>
  <c r="O281"/>
  <c r="U280"/>
  <c r="R280"/>
  <c r="O280"/>
  <c r="U279"/>
  <c r="R279"/>
  <c r="O279"/>
  <c r="U278"/>
  <c r="R278"/>
  <c r="O278"/>
  <c r="U277"/>
  <c r="R277"/>
  <c r="O277"/>
  <c r="U276"/>
  <c r="R276"/>
  <c r="O276"/>
  <c r="W275"/>
  <c r="V275"/>
  <c r="T275"/>
  <c r="S275"/>
  <c r="Q275"/>
  <c r="P275"/>
  <c r="N275"/>
  <c r="M275"/>
  <c r="L275"/>
  <c r="U274"/>
  <c r="S274"/>
  <c r="R274" s="1"/>
  <c r="O274"/>
  <c r="V273"/>
  <c r="V272" s="1"/>
  <c r="R273"/>
  <c r="P273"/>
  <c r="O273" s="1"/>
  <c r="W272"/>
  <c r="T272"/>
  <c r="Q272"/>
  <c r="N272"/>
  <c r="M272"/>
  <c r="L272"/>
  <c r="U268"/>
  <c r="R268"/>
  <c r="O268"/>
  <c r="U267"/>
  <c r="R267"/>
  <c r="O267"/>
  <c r="W266"/>
  <c r="W265" s="1"/>
  <c r="V266"/>
  <c r="T266"/>
  <c r="T265" s="1"/>
  <c r="S266"/>
  <c r="S265" s="1"/>
  <c r="Q266"/>
  <c r="Q265" s="1"/>
  <c r="P266"/>
  <c r="P265" s="1"/>
  <c r="N266"/>
  <c r="N265" s="1"/>
  <c r="M266"/>
  <c r="M265" s="1"/>
  <c r="L266"/>
  <c r="L265" s="1"/>
  <c r="V265"/>
  <c r="U227"/>
  <c r="U226" s="1"/>
  <c r="R227"/>
  <c r="R226" s="1"/>
  <c r="O227"/>
  <c r="O226" s="1"/>
  <c r="W226"/>
  <c r="V226"/>
  <c r="T226"/>
  <c r="S226"/>
  <c r="Q226"/>
  <c r="P226"/>
  <c r="N226"/>
  <c r="M226"/>
  <c r="L226"/>
  <c r="U225"/>
  <c r="R225"/>
  <c r="O225"/>
  <c r="U224"/>
  <c r="R224"/>
  <c r="O224"/>
  <c r="W223"/>
  <c r="V223"/>
  <c r="T223"/>
  <c r="S223"/>
  <c r="Q223"/>
  <c r="P223"/>
  <c r="N223"/>
  <c r="M223"/>
  <c r="L223"/>
  <c r="U222"/>
  <c r="R222"/>
  <c r="O222"/>
  <c r="U221"/>
  <c r="R221"/>
  <c r="O221"/>
  <c r="U220"/>
  <c r="R220"/>
  <c r="O220"/>
  <c r="U219"/>
  <c r="R219"/>
  <c r="O219"/>
  <c r="U218"/>
  <c r="R218"/>
  <c r="O218"/>
  <c r="U217"/>
  <c r="R217"/>
  <c r="O217"/>
  <c r="U216"/>
  <c r="R216"/>
  <c r="O216"/>
  <c r="U215"/>
  <c r="R215"/>
  <c r="O215"/>
  <c r="U214"/>
  <c r="R214"/>
  <c r="O214"/>
  <c r="U213"/>
  <c r="R213"/>
  <c r="O213"/>
  <c r="U212"/>
  <c r="R212"/>
  <c r="P212"/>
  <c r="O212" s="1"/>
  <c r="N212"/>
  <c r="N211" s="1"/>
  <c r="M212"/>
  <c r="M211" s="1"/>
  <c r="L212"/>
  <c r="L211" s="1"/>
  <c r="W211"/>
  <c r="V211"/>
  <c r="T211"/>
  <c r="S211"/>
  <c r="Q211"/>
  <c r="U210"/>
  <c r="R210"/>
  <c r="O210"/>
  <c r="U209"/>
  <c r="R209"/>
  <c r="O209"/>
  <c r="W208"/>
  <c r="V208"/>
  <c r="T208"/>
  <c r="S208"/>
  <c r="Q208"/>
  <c r="P208"/>
  <c r="N208"/>
  <c r="M208"/>
  <c r="L208"/>
  <c r="U206"/>
  <c r="R206"/>
  <c r="O206"/>
  <c r="U205"/>
  <c r="R205"/>
  <c r="O205"/>
  <c r="W204"/>
  <c r="V204"/>
  <c r="T204"/>
  <c r="S204"/>
  <c r="Q204"/>
  <c r="P204"/>
  <c r="N204"/>
  <c r="M204"/>
  <c r="L204"/>
  <c r="U201"/>
  <c r="R201"/>
  <c r="O201"/>
  <c r="U200"/>
  <c r="R200"/>
  <c r="O200"/>
  <c r="W199"/>
  <c r="W198" s="1"/>
  <c r="V199"/>
  <c r="V198" s="1"/>
  <c r="T199"/>
  <c r="T198" s="1"/>
  <c r="S199"/>
  <c r="S198" s="1"/>
  <c r="Q199"/>
  <c r="Q198" s="1"/>
  <c r="P199"/>
  <c r="P198" s="1"/>
  <c r="N199"/>
  <c r="N198" s="1"/>
  <c r="M199"/>
  <c r="M198" s="1"/>
  <c r="L199"/>
  <c r="L198" s="1"/>
  <c r="U197"/>
  <c r="R197"/>
  <c r="O197"/>
  <c r="U196"/>
  <c r="R196"/>
  <c r="O196"/>
  <c r="U195"/>
  <c r="R195"/>
  <c r="O195"/>
  <c r="U194"/>
  <c r="R194"/>
  <c r="O194"/>
  <c r="U193"/>
  <c r="R193"/>
  <c r="O193"/>
  <c r="U192"/>
  <c r="R192"/>
  <c r="O192"/>
  <c r="U191"/>
  <c r="R191"/>
  <c r="O191"/>
  <c r="U190"/>
  <c r="R190"/>
  <c r="O190"/>
  <c r="U189"/>
  <c r="R189"/>
  <c r="O189"/>
  <c r="U188"/>
  <c r="R188"/>
  <c r="O188"/>
  <c r="U187"/>
  <c r="R187"/>
  <c r="O187"/>
  <c r="U186"/>
  <c r="R186"/>
  <c r="O186"/>
  <c r="U185"/>
  <c r="R185"/>
  <c r="O185"/>
  <c r="U184"/>
  <c r="R184"/>
  <c r="O184"/>
  <c r="U183"/>
  <c r="R183"/>
  <c r="O183"/>
  <c r="U182"/>
  <c r="R182"/>
  <c r="O182"/>
  <c r="U181"/>
  <c r="R181"/>
  <c r="O181"/>
  <c r="W180"/>
  <c r="W179" s="1"/>
  <c r="V180"/>
  <c r="V179" s="1"/>
  <c r="T180"/>
  <c r="T179" s="1"/>
  <c r="S180"/>
  <c r="S179" s="1"/>
  <c r="Q180"/>
  <c r="Q179" s="1"/>
  <c r="P180"/>
  <c r="P179" s="1"/>
  <c r="N180"/>
  <c r="N179" s="1"/>
  <c r="M180"/>
  <c r="M179" s="1"/>
  <c r="L180"/>
  <c r="L179" s="1"/>
  <c r="U178"/>
  <c r="R178"/>
  <c r="O178"/>
  <c r="U177"/>
  <c r="R177"/>
  <c r="O177"/>
  <c r="W176"/>
  <c r="W175" s="1"/>
  <c r="V176"/>
  <c r="V175" s="1"/>
  <c r="T176"/>
  <c r="T175" s="1"/>
  <c r="S176"/>
  <c r="S175" s="1"/>
  <c r="Q176"/>
  <c r="Q175" s="1"/>
  <c r="P176"/>
  <c r="P175" s="1"/>
  <c r="N176"/>
  <c r="N175" s="1"/>
  <c r="M176"/>
  <c r="M175" s="1"/>
  <c r="L176"/>
  <c r="L175" s="1"/>
  <c r="U173"/>
  <c r="R173"/>
  <c r="O173"/>
  <c r="U172"/>
  <c r="R172"/>
  <c r="O172"/>
  <c r="U171"/>
  <c r="R171"/>
  <c r="O171"/>
  <c r="U170"/>
  <c r="R170"/>
  <c r="O170"/>
  <c r="U169"/>
  <c r="R169"/>
  <c r="O169"/>
  <c r="N169"/>
  <c r="N168" s="1"/>
  <c r="M169"/>
  <c r="M168" s="1"/>
  <c r="L169"/>
  <c r="L168" s="1"/>
  <c r="W168"/>
  <c r="V168"/>
  <c r="T168"/>
  <c r="S168"/>
  <c r="Q168"/>
  <c r="P168"/>
  <c r="Q798" l="1"/>
  <c r="S784"/>
  <c r="P19"/>
  <c r="P14" s="1"/>
  <c r="S110"/>
  <c r="T738"/>
  <c r="W738"/>
  <c r="S744"/>
  <c r="V744"/>
  <c r="P784"/>
  <c r="S790"/>
  <c r="S842"/>
  <c r="T14"/>
  <c r="T13" s="1"/>
  <c r="L19"/>
  <c r="N19"/>
  <c r="N14" s="1"/>
  <c r="N13" s="1"/>
  <c r="W19"/>
  <c r="Q19"/>
  <c r="O34"/>
  <c r="U39"/>
  <c r="U38" s="1"/>
  <c r="U37" s="1"/>
  <c r="L71"/>
  <c r="L70" s="1"/>
  <c r="W127"/>
  <c r="U127" s="1"/>
  <c r="O132"/>
  <c r="U132"/>
  <c r="R39"/>
  <c r="R38" s="1"/>
  <c r="R37" s="1"/>
  <c r="Q43"/>
  <c r="Q42" s="1"/>
  <c r="M43"/>
  <c r="M42" s="1"/>
  <c r="O93" i="4"/>
  <c r="O89"/>
  <c r="O88" s="1"/>
  <c r="O87" s="1"/>
  <c r="O39" i="1"/>
  <c r="O38" s="1"/>
  <c r="O37" s="1"/>
  <c r="U43"/>
  <c r="U42" s="1"/>
  <c r="N744"/>
  <c r="S104"/>
  <c r="S103" s="1"/>
  <c r="O732"/>
  <c r="O731" s="1"/>
  <c r="W784"/>
  <c r="L842"/>
  <c r="T842"/>
  <c r="T836" s="1"/>
  <c r="N738"/>
  <c r="P744"/>
  <c r="P738" s="1"/>
  <c r="W842"/>
  <c r="W836" s="1"/>
  <c r="R80"/>
  <c r="R79" s="1"/>
  <c r="S836"/>
  <c r="O72"/>
  <c r="U72"/>
  <c r="U100"/>
  <c r="L784"/>
  <c r="R790"/>
  <c r="O808"/>
  <c r="O798" s="1"/>
  <c r="U808"/>
  <c r="U798" s="1"/>
  <c r="Q814"/>
  <c r="Q813" s="1"/>
  <c r="R816"/>
  <c r="L14"/>
  <c r="L13" s="1"/>
  <c r="R639"/>
  <c r="R638" s="1"/>
  <c r="Q716"/>
  <c r="Q715" s="1"/>
  <c r="P731"/>
  <c r="V738"/>
  <c r="S14"/>
  <c r="S13" s="1"/>
  <c r="U15"/>
  <c r="R15"/>
  <c r="O15"/>
  <c r="R72"/>
  <c r="O105"/>
  <c r="U105"/>
  <c r="R105"/>
  <c r="Q14"/>
  <c r="Q13" s="1"/>
  <c r="V19"/>
  <c r="R111"/>
  <c r="W14"/>
  <c r="W13" s="1"/>
  <c r="U732"/>
  <c r="U731" s="1"/>
  <c r="V14"/>
  <c r="V13" s="1"/>
  <c r="P13"/>
  <c r="N43"/>
  <c r="N42" s="1"/>
  <c r="P43"/>
  <c r="P42" s="1"/>
  <c r="R43"/>
  <c r="R42" s="1"/>
  <c r="T43"/>
  <c r="T42" s="1"/>
  <c r="V43"/>
  <c r="V42" s="1"/>
  <c r="O43"/>
  <c r="O42" s="1"/>
  <c r="S43"/>
  <c r="S42" s="1"/>
  <c r="W43"/>
  <c r="W42" s="1"/>
  <c r="N78"/>
  <c r="N71" s="1"/>
  <c r="N70" s="1"/>
  <c r="S78"/>
  <c r="S71" s="1"/>
  <c r="S70" s="1"/>
  <c r="O80"/>
  <c r="O79" s="1"/>
  <c r="U80"/>
  <c r="U79" s="1"/>
  <c r="U84"/>
  <c r="M110"/>
  <c r="M104" s="1"/>
  <c r="M103" s="1"/>
  <c r="P110"/>
  <c r="P104" s="1"/>
  <c r="P103" s="1"/>
  <c r="Q115"/>
  <c r="Q110" s="1"/>
  <c r="Q104" s="1"/>
  <c r="Q103" s="1"/>
  <c r="T127"/>
  <c r="R127" s="1"/>
  <c r="R115" s="1"/>
  <c r="M19"/>
  <c r="M14" s="1"/>
  <c r="M13" s="1"/>
  <c r="U34"/>
  <c r="V104"/>
  <c r="V103" s="1"/>
  <c r="R34"/>
  <c r="Q78"/>
  <c r="Q71" s="1"/>
  <c r="Q70" s="1"/>
  <c r="V99"/>
  <c r="U99" s="1"/>
  <c r="L110"/>
  <c r="L104" s="1"/>
  <c r="L103" s="1"/>
  <c r="N110"/>
  <c r="N104" s="1"/>
  <c r="N103" s="1"/>
  <c r="O111"/>
  <c r="U111"/>
  <c r="O115"/>
  <c r="R132"/>
  <c r="N621"/>
  <c r="O19"/>
  <c r="U19"/>
  <c r="U14" s="1"/>
  <c r="L43"/>
  <c r="L42" s="1"/>
  <c r="W78"/>
  <c r="W71" s="1"/>
  <c r="W70" s="1"/>
  <c r="M78"/>
  <c r="M71" s="1"/>
  <c r="M70" s="1"/>
  <c r="O84"/>
  <c r="T78"/>
  <c r="T71" s="1"/>
  <c r="T70" s="1"/>
  <c r="U83"/>
  <c r="P83"/>
  <c r="P78" s="1"/>
  <c r="P71" s="1"/>
  <c r="P70" s="1"/>
  <c r="R83"/>
  <c r="O100"/>
  <c r="R100"/>
  <c r="W115"/>
  <c r="W110" s="1"/>
  <c r="W104" s="1"/>
  <c r="W103" s="1"/>
  <c r="U115"/>
  <c r="U758"/>
  <c r="U744" s="1"/>
  <c r="O99"/>
  <c r="R99"/>
  <c r="R19"/>
  <c r="R14" s="1"/>
  <c r="V790"/>
  <c r="M798"/>
  <c r="N790"/>
  <c r="M790"/>
  <c r="P790"/>
  <c r="P783" s="1"/>
  <c r="U816"/>
  <c r="U820"/>
  <c r="U842"/>
  <c r="S738"/>
  <c r="L744"/>
  <c r="L738" s="1"/>
  <c r="Q744"/>
  <c r="Q738" s="1"/>
  <c r="U785"/>
  <c r="U784" s="1"/>
  <c r="R785"/>
  <c r="R784" s="1"/>
  <c r="R783" s="1"/>
  <c r="V784"/>
  <c r="S783"/>
  <c r="U790"/>
  <c r="W798"/>
  <c r="O816"/>
  <c r="S814"/>
  <c r="S813" s="1"/>
  <c r="P836"/>
  <c r="O842"/>
  <c r="N842"/>
  <c r="N836" s="1"/>
  <c r="P68" i="4"/>
  <c r="S68"/>
  <c r="O70"/>
  <c r="O69" s="1"/>
  <c r="U70"/>
  <c r="U69" s="1"/>
  <c r="T68"/>
  <c r="R73"/>
  <c r="U93"/>
  <c r="M88"/>
  <c r="M87" s="1"/>
  <c r="M744" i="1"/>
  <c r="M738" s="1"/>
  <c r="O758"/>
  <c r="Q784"/>
  <c r="Q783" s="1"/>
  <c r="T784"/>
  <c r="W790"/>
  <c r="T790"/>
  <c r="O790"/>
  <c r="W814"/>
  <c r="W813" s="1"/>
  <c r="O837"/>
  <c r="M842"/>
  <c r="M836" s="1"/>
  <c r="Q842"/>
  <c r="Q836" s="1"/>
  <c r="V842"/>
  <c r="V836" s="1"/>
  <c r="L33" i="4"/>
  <c r="M33"/>
  <c r="U89"/>
  <c r="U88" s="1"/>
  <c r="U87" s="1"/>
  <c r="L88"/>
  <c r="L87" s="1"/>
  <c r="Q88"/>
  <c r="Q87" s="1"/>
  <c r="V88"/>
  <c r="V87" s="1"/>
  <c r="P32"/>
  <c r="R93"/>
  <c r="L38"/>
  <c r="W88"/>
  <c r="W87" s="1"/>
  <c r="M38"/>
  <c r="M32" s="1"/>
  <c r="T88"/>
  <c r="T87" s="1"/>
  <c r="O49"/>
  <c r="O57"/>
  <c r="P89"/>
  <c r="P88" s="1"/>
  <c r="P87" s="1"/>
  <c r="S89"/>
  <c r="S88" s="1"/>
  <c r="S87" s="1"/>
  <c r="R90"/>
  <c r="U73"/>
  <c r="O73"/>
  <c r="O68" s="1"/>
  <c r="U68"/>
  <c r="N38"/>
  <c r="R70"/>
  <c r="R69" s="1"/>
  <c r="R68" s="1"/>
  <c r="N68"/>
  <c r="Q68"/>
  <c r="V68"/>
  <c r="W32"/>
  <c r="N33"/>
  <c r="M68"/>
  <c r="T32"/>
  <c r="T60"/>
  <c r="Q60"/>
  <c r="P60"/>
  <c r="L32"/>
  <c r="O44"/>
  <c r="O43" s="1"/>
  <c r="P48"/>
  <c r="P47" s="1"/>
  <c r="U44"/>
  <c r="U43" s="1"/>
  <c r="V60"/>
  <c r="U63"/>
  <c r="U60" s="1"/>
  <c r="N14"/>
  <c r="N13" s="1"/>
  <c r="O23"/>
  <c r="R44"/>
  <c r="R43" s="1"/>
  <c r="T48"/>
  <c r="T47" s="1"/>
  <c r="U33"/>
  <c r="U38"/>
  <c r="L48"/>
  <c r="L47" s="1"/>
  <c r="L31" s="1"/>
  <c r="L30" s="1"/>
  <c r="W48"/>
  <c r="W47" s="1"/>
  <c r="P31"/>
  <c r="R49"/>
  <c r="R33"/>
  <c r="O33"/>
  <c r="S32"/>
  <c r="R38"/>
  <c r="S48"/>
  <c r="S47" s="1"/>
  <c r="R52"/>
  <c r="S60"/>
  <c r="V32"/>
  <c r="Q32"/>
  <c r="U49"/>
  <c r="R57"/>
  <c r="W60"/>
  <c r="M48"/>
  <c r="M47" s="1"/>
  <c r="Q48"/>
  <c r="Q47" s="1"/>
  <c r="V48"/>
  <c r="V47" s="1"/>
  <c r="U52"/>
  <c r="O52"/>
  <c r="N48"/>
  <c r="N47" s="1"/>
  <c r="O38"/>
  <c r="U57"/>
  <c r="O63"/>
  <c r="O60" s="1"/>
  <c r="R63"/>
  <c r="R60" s="1"/>
  <c r="V14"/>
  <c r="V13" s="1"/>
  <c r="M14"/>
  <c r="M13" s="1"/>
  <c r="L14"/>
  <c r="L13" s="1"/>
  <c r="L11" s="1"/>
  <c r="P14"/>
  <c r="P13" s="1"/>
  <c r="P18"/>
  <c r="T13"/>
  <c r="W16"/>
  <c r="W15" s="1"/>
  <c r="W14" s="1"/>
  <c r="W13" s="1"/>
  <c r="U17"/>
  <c r="U16" s="1"/>
  <c r="U15" s="1"/>
  <c r="U14" s="1"/>
  <c r="U13" s="1"/>
  <c r="U18"/>
  <c r="S14"/>
  <c r="S13" s="1"/>
  <c r="M18"/>
  <c r="Q22"/>
  <c r="O22" s="1"/>
  <c r="L18"/>
  <c r="O17"/>
  <c r="O16" s="1"/>
  <c r="O15" s="1"/>
  <c r="O14" s="1"/>
  <c r="Q16"/>
  <c r="Q15" s="1"/>
  <c r="Q14" s="1"/>
  <c r="R17"/>
  <c r="R16" s="1"/>
  <c r="R15" s="1"/>
  <c r="R14" s="1"/>
  <c r="R13" s="1"/>
  <c r="L798" i="1"/>
  <c r="R732"/>
  <c r="R731" s="1"/>
  <c r="P798"/>
  <c r="L814"/>
  <c r="L813" s="1"/>
  <c r="O828"/>
  <c r="R837"/>
  <c r="O739"/>
  <c r="R739"/>
  <c r="U739"/>
  <c r="O747"/>
  <c r="R747"/>
  <c r="O770"/>
  <c r="O768" s="1"/>
  <c r="O767" s="1"/>
  <c r="U770"/>
  <c r="U768" s="1"/>
  <c r="U767" s="1"/>
  <c r="L790"/>
  <c r="L783" s="1"/>
  <c r="N798"/>
  <c r="T798"/>
  <c r="R808"/>
  <c r="R798" s="1"/>
  <c r="N814"/>
  <c r="N813" s="1"/>
  <c r="P814"/>
  <c r="P813" s="1"/>
  <c r="R820"/>
  <c r="U837"/>
  <c r="M784"/>
  <c r="R842"/>
  <c r="R758"/>
  <c r="O625"/>
  <c r="S625"/>
  <c r="W625"/>
  <c r="W639"/>
  <c r="W638" s="1"/>
  <c r="S639"/>
  <c r="S638" s="1"/>
  <c r="L716"/>
  <c r="L715" s="1"/>
  <c r="S731"/>
  <c r="O763"/>
  <c r="R763"/>
  <c r="U763"/>
  <c r="R770"/>
  <c r="R768" s="1"/>
  <c r="R767" s="1"/>
  <c r="O785"/>
  <c r="O784" s="1"/>
  <c r="N784"/>
  <c r="V798"/>
  <c r="S798"/>
  <c r="M814"/>
  <c r="M813" s="1"/>
  <c r="T814"/>
  <c r="T813" s="1"/>
  <c r="O820"/>
  <c r="L836"/>
  <c r="N716"/>
  <c r="N715" s="1"/>
  <c r="M621"/>
  <c r="M716"/>
  <c r="M715" s="1"/>
  <c r="P716"/>
  <c r="P715" s="1"/>
  <c r="V716"/>
  <c r="V715" s="1"/>
  <c r="U723"/>
  <c r="U722" s="1"/>
  <c r="U716" s="1"/>
  <c r="U715" s="1"/>
  <c r="O723"/>
  <c r="O722" s="1"/>
  <c r="O716" s="1"/>
  <c r="O715" s="1"/>
  <c r="T716"/>
  <c r="T715" s="1"/>
  <c r="W716"/>
  <c r="W715" s="1"/>
  <c r="S716"/>
  <c r="S715" s="1"/>
  <c r="U489"/>
  <c r="P495"/>
  <c r="Q625"/>
  <c r="U625"/>
  <c r="M626"/>
  <c r="M625" s="1"/>
  <c r="O639"/>
  <c r="O638" s="1"/>
  <c r="L653"/>
  <c r="L639" s="1"/>
  <c r="L638" s="1"/>
  <c r="M653"/>
  <c r="M639" s="1"/>
  <c r="M638" s="1"/>
  <c r="R723"/>
  <c r="R722" s="1"/>
  <c r="R716" s="1"/>
  <c r="R715" s="1"/>
  <c r="M588"/>
  <c r="M583" s="1"/>
  <c r="M574" s="1"/>
  <c r="M573" s="1"/>
  <c r="L626"/>
  <c r="L625" s="1"/>
  <c r="Q588"/>
  <c r="Q583" s="1"/>
  <c r="Q574" s="1"/>
  <c r="Q573" s="1"/>
  <c r="T588"/>
  <c r="T583" s="1"/>
  <c r="T574" s="1"/>
  <c r="T573" s="1"/>
  <c r="N626"/>
  <c r="N625" s="1"/>
  <c r="R625"/>
  <c r="R620" s="1"/>
  <c r="R619" s="1"/>
  <c r="V625"/>
  <c r="V620" s="1"/>
  <c r="V619" s="1"/>
  <c r="L621"/>
  <c r="P625"/>
  <c r="T625"/>
  <c r="Q639"/>
  <c r="Q638" s="1"/>
  <c r="U639"/>
  <c r="U638" s="1"/>
  <c r="T639"/>
  <c r="T638" s="1"/>
  <c r="P588"/>
  <c r="P583" s="1"/>
  <c r="P574" s="1"/>
  <c r="P573" s="1"/>
  <c r="U589"/>
  <c r="P639"/>
  <c r="P638" s="1"/>
  <c r="N653"/>
  <c r="N639" s="1"/>
  <c r="N638" s="1"/>
  <c r="U481"/>
  <c r="R589"/>
  <c r="O489"/>
  <c r="O488" s="1"/>
  <c r="V588"/>
  <c r="V583" s="1"/>
  <c r="U596"/>
  <c r="O596"/>
  <c r="L588"/>
  <c r="L583" s="1"/>
  <c r="L574" s="1"/>
  <c r="L573" s="1"/>
  <c r="V574"/>
  <c r="V573" s="1"/>
  <c r="O589"/>
  <c r="O575"/>
  <c r="R575"/>
  <c r="U575"/>
  <c r="N588"/>
  <c r="N583" s="1"/>
  <c r="N574" s="1"/>
  <c r="N573" s="1"/>
  <c r="S588"/>
  <c r="S583" s="1"/>
  <c r="S574" s="1"/>
  <c r="S573" s="1"/>
  <c r="U523"/>
  <c r="W588"/>
  <c r="W583" s="1"/>
  <c r="W574" s="1"/>
  <c r="W573" s="1"/>
  <c r="R596"/>
  <c r="O476"/>
  <c r="U488"/>
  <c r="N495"/>
  <c r="R502"/>
  <c r="R516"/>
  <c r="U377"/>
  <c r="W396"/>
  <c r="W395" s="1"/>
  <c r="U470"/>
  <c r="W475"/>
  <c r="S396"/>
  <c r="S395" s="1"/>
  <c r="O470"/>
  <c r="R476"/>
  <c r="O481"/>
  <c r="O475" s="1"/>
  <c r="Q371"/>
  <c r="W371"/>
  <c r="W370" s="1"/>
  <c r="W369" s="1"/>
  <c r="U506"/>
  <c r="U510"/>
  <c r="L515"/>
  <c r="Q515"/>
  <c r="R481"/>
  <c r="T495"/>
  <c r="T494" s="1"/>
  <c r="T493" s="1"/>
  <c r="R506"/>
  <c r="V515"/>
  <c r="O526"/>
  <c r="R526"/>
  <c r="O372"/>
  <c r="S371"/>
  <c r="N475"/>
  <c r="O496"/>
  <c r="M495"/>
  <c r="U540"/>
  <c r="L495"/>
  <c r="Q495"/>
  <c r="S475"/>
  <c r="R496"/>
  <c r="O540"/>
  <c r="O377"/>
  <c r="P396"/>
  <c r="P395" s="1"/>
  <c r="Q396"/>
  <c r="Q395" s="1"/>
  <c r="O447"/>
  <c r="R447"/>
  <c r="V495"/>
  <c r="U502"/>
  <c r="O502"/>
  <c r="M515"/>
  <c r="O523"/>
  <c r="R523"/>
  <c r="R488"/>
  <c r="W515"/>
  <c r="R470"/>
  <c r="W495"/>
  <c r="U516"/>
  <c r="N371"/>
  <c r="P371"/>
  <c r="P370" s="1"/>
  <c r="P369" s="1"/>
  <c r="N396"/>
  <c r="N395" s="1"/>
  <c r="T396"/>
  <c r="T395" s="1"/>
  <c r="U476"/>
  <c r="L475"/>
  <c r="V475"/>
  <c r="U496"/>
  <c r="P515"/>
  <c r="U526"/>
  <c r="R540"/>
  <c r="L384"/>
  <c r="L383" s="1"/>
  <c r="M475"/>
  <c r="Q475"/>
  <c r="P475"/>
  <c r="T475"/>
  <c r="R489"/>
  <c r="S495"/>
  <c r="O506"/>
  <c r="R510"/>
  <c r="O510"/>
  <c r="N515"/>
  <c r="O516"/>
  <c r="S515"/>
  <c r="R515" s="1"/>
  <c r="V371"/>
  <c r="U372"/>
  <c r="L371"/>
  <c r="R372"/>
  <c r="O397"/>
  <c r="R397"/>
  <c r="U397"/>
  <c r="R417"/>
  <c r="T371"/>
  <c r="O384"/>
  <c r="O383" s="1"/>
  <c r="R384"/>
  <c r="R383" s="1"/>
  <c r="L396"/>
  <c r="L395" s="1"/>
  <c r="M396"/>
  <c r="M395" s="1"/>
  <c r="U447"/>
  <c r="U338"/>
  <c r="U384"/>
  <c r="U383" s="1"/>
  <c r="V396"/>
  <c r="V395" s="1"/>
  <c r="U417"/>
  <c r="O417"/>
  <c r="O272"/>
  <c r="U346"/>
  <c r="U345" s="1"/>
  <c r="R377"/>
  <c r="M371"/>
  <c r="W344"/>
  <c r="W337" s="1"/>
  <c r="W336" s="1"/>
  <c r="Q344"/>
  <c r="Q337" s="1"/>
  <c r="Q336" s="1"/>
  <c r="R338"/>
  <c r="O346"/>
  <c r="P344"/>
  <c r="P337" s="1"/>
  <c r="P336" s="1"/>
  <c r="U352"/>
  <c r="U351" s="1"/>
  <c r="O352"/>
  <c r="O351" s="1"/>
  <c r="S344"/>
  <c r="S337" s="1"/>
  <c r="S336" s="1"/>
  <c r="R346"/>
  <c r="R345" s="1"/>
  <c r="R352"/>
  <c r="R351" s="1"/>
  <c r="L344"/>
  <c r="L337" s="1"/>
  <c r="L336" s="1"/>
  <c r="T344"/>
  <c r="T337" s="1"/>
  <c r="T336" s="1"/>
  <c r="N344"/>
  <c r="N337" s="1"/>
  <c r="N336" s="1"/>
  <c r="M344"/>
  <c r="M337" s="1"/>
  <c r="M336" s="1"/>
  <c r="U334"/>
  <c r="U328" s="1"/>
  <c r="O338"/>
  <c r="U299"/>
  <c r="O345"/>
  <c r="R334"/>
  <c r="R328" s="1"/>
  <c r="V344"/>
  <c r="V337" s="1"/>
  <c r="V336" s="1"/>
  <c r="O360"/>
  <c r="O359" s="1"/>
  <c r="R293"/>
  <c r="U325"/>
  <c r="Q271"/>
  <c r="Q264" s="1"/>
  <c r="Q263" s="1"/>
  <c r="O293"/>
  <c r="N271"/>
  <c r="N264" s="1"/>
  <c r="N263" s="1"/>
  <c r="S324"/>
  <c r="S318" s="1"/>
  <c r="S317" s="1"/>
  <c r="R325"/>
  <c r="W207"/>
  <c r="P324"/>
  <c r="P318" s="1"/>
  <c r="P317" s="1"/>
  <c r="R176"/>
  <c r="R175" s="1"/>
  <c r="V271"/>
  <c r="V264" s="1"/>
  <c r="V263" s="1"/>
  <c r="O325"/>
  <c r="O204"/>
  <c r="O266"/>
  <c r="O265" s="1"/>
  <c r="S272"/>
  <c r="S271" s="1"/>
  <c r="S264" s="1"/>
  <c r="S263" s="1"/>
  <c r="O300"/>
  <c r="L324"/>
  <c r="L318" s="1"/>
  <c r="L317" s="1"/>
  <c r="W324"/>
  <c r="W318" s="1"/>
  <c r="W317" s="1"/>
  <c r="O334"/>
  <c r="O328" s="1"/>
  <c r="R272"/>
  <c r="M271"/>
  <c r="M264" s="1"/>
  <c r="M263" s="1"/>
  <c r="O275"/>
  <c r="Q328"/>
  <c r="Q324" s="1"/>
  <c r="Q318" s="1"/>
  <c r="Q317" s="1"/>
  <c r="V328"/>
  <c r="V324" s="1"/>
  <c r="V318" s="1"/>
  <c r="V317" s="1"/>
  <c r="U304"/>
  <c r="U303" s="1"/>
  <c r="R299"/>
  <c r="T328"/>
  <c r="T324" s="1"/>
  <c r="T318" s="1"/>
  <c r="T317" s="1"/>
  <c r="T298"/>
  <c r="T292" s="1"/>
  <c r="T291" s="1"/>
  <c r="N324"/>
  <c r="N318" s="1"/>
  <c r="N317" s="1"/>
  <c r="U293"/>
  <c r="R300"/>
  <c r="M298"/>
  <c r="M292" s="1"/>
  <c r="M291" s="1"/>
  <c r="S298"/>
  <c r="S292" s="1"/>
  <c r="S291" s="1"/>
  <c r="M324"/>
  <c r="M318" s="1"/>
  <c r="M317" s="1"/>
  <c r="L298"/>
  <c r="L292" s="1"/>
  <c r="L291" s="1"/>
  <c r="Q298"/>
  <c r="Q292" s="1"/>
  <c r="Q291" s="1"/>
  <c r="W298"/>
  <c r="W292" s="1"/>
  <c r="W291" s="1"/>
  <c r="R275"/>
  <c r="U275"/>
  <c r="P298"/>
  <c r="P292" s="1"/>
  <c r="P291" s="1"/>
  <c r="O319"/>
  <c r="R319"/>
  <c r="U319"/>
  <c r="V298"/>
  <c r="V292" s="1"/>
  <c r="V291" s="1"/>
  <c r="U300"/>
  <c r="R304"/>
  <c r="R303" s="1"/>
  <c r="O304"/>
  <c r="O303" s="1"/>
  <c r="R266"/>
  <c r="R265" s="1"/>
  <c r="O299"/>
  <c r="N299"/>
  <c r="N298" s="1"/>
  <c r="N292" s="1"/>
  <c r="N291" s="1"/>
  <c r="L271"/>
  <c r="L264" s="1"/>
  <c r="L263" s="1"/>
  <c r="W271"/>
  <c r="W264" s="1"/>
  <c r="W263" s="1"/>
  <c r="U199"/>
  <c r="U198" s="1"/>
  <c r="O208"/>
  <c r="U266"/>
  <c r="T271"/>
  <c r="T264" s="1"/>
  <c r="T263" s="1"/>
  <c r="U273"/>
  <c r="U272" s="1"/>
  <c r="P272"/>
  <c r="P271" s="1"/>
  <c r="P264" s="1"/>
  <c r="P263" s="1"/>
  <c r="V174"/>
  <c r="V167" s="1"/>
  <c r="V166" s="1"/>
  <c r="U176"/>
  <c r="U175" s="1"/>
  <c r="Q174"/>
  <c r="Q167" s="1"/>
  <c r="Q166" s="1"/>
  <c r="O199"/>
  <c r="O198" s="1"/>
  <c r="U223"/>
  <c r="S207"/>
  <c r="Q203"/>
  <c r="Q202" s="1"/>
  <c r="O176"/>
  <c r="O175" s="1"/>
  <c r="O180"/>
  <c r="O179" s="1"/>
  <c r="R180"/>
  <c r="R179" s="1"/>
  <c r="U180"/>
  <c r="U179" s="1"/>
  <c r="R199"/>
  <c r="R198" s="1"/>
  <c r="U204"/>
  <c r="R208"/>
  <c r="M203"/>
  <c r="M202" s="1"/>
  <c r="P211"/>
  <c r="P207" s="1"/>
  <c r="N207"/>
  <c r="L207"/>
  <c r="U208"/>
  <c r="M207"/>
  <c r="U211"/>
  <c r="S174"/>
  <c r="S167" s="1"/>
  <c r="S166" s="1"/>
  <c r="V207"/>
  <c r="V203"/>
  <c r="V202" s="1"/>
  <c r="R211"/>
  <c r="T203"/>
  <c r="T202" s="1"/>
  <c r="Q207"/>
  <c r="L203"/>
  <c r="L202" s="1"/>
  <c r="O211"/>
  <c r="T174"/>
  <c r="T167" s="1"/>
  <c r="T166" s="1"/>
  <c r="R204"/>
  <c r="T207"/>
  <c r="S203"/>
  <c r="S202" s="1"/>
  <c r="W203"/>
  <c r="W202" s="1"/>
  <c r="O223"/>
  <c r="R223"/>
  <c r="N203"/>
  <c r="N202" s="1"/>
  <c r="W174"/>
  <c r="W167" s="1"/>
  <c r="W166" s="1"/>
  <c r="N174"/>
  <c r="N167" s="1"/>
  <c r="N166" s="1"/>
  <c r="R168"/>
  <c r="U168"/>
  <c r="O168"/>
  <c r="M174"/>
  <c r="M167" s="1"/>
  <c r="M166" s="1"/>
  <c r="L174"/>
  <c r="L167" s="1"/>
  <c r="L166" s="1"/>
  <c r="P174"/>
  <c r="P167" s="1"/>
  <c r="P166" s="1"/>
  <c r="O836" l="1"/>
  <c r="V783"/>
  <c r="R13"/>
  <c r="U110"/>
  <c r="U104" s="1"/>
  <c r="U103" s="1"/>
  <c r="T115"/>
  <c r="T110" s="1"/>
  <c r="T104" s="1"/>
  <c r="T103" s="1"/>
  <c r="O14"/>
  <c r="O13" s="1"/>
  <c r="O744"/>
  <c r="U13"/>
  <c r="O620"/>
  <c r="O619" s="1"/>
  <c r="U738"/>
  <c r="M783"/>
  <c r="R814"/>
  <c r="R813" s="1"/>
  <c r="R110"/>
  <c r="R104" s="1"/>
  <c r="R103" s="1"/>
  <c r="R78"/>
  <c r="R71" s="1"/>
  <c r="R70" s="1"/>
  <c r="W783"/>
  <c r="W730" s="1"/>
  <c r="W729" s="1"/>
  <c r="O814"/>
  <c r="O813" s="1"/>
  <c r="N783"/>
  <c r="O783"/>
  <c r="R836"/>
  <c r="V78"/>
  <c r="V71" s="1"/>
  <c r="V70" s="1"/>
  <c r="T783"/>
  <c r="U814"/>
  <c r="U813" s="1"/>
  <c r="U78"/>
  <c r="U71" s="1"/>
  <c r="U70" s="1"/>
  <c r="O110"/>
  <c r="O104" s="1"/>
  <c r="O103" s="1"/>
  <c r="R89" i="4"/>
  <c r="R88" s="1"/>
  <c r="R87" s="1"/>
  <c r="U836" i="1"/>
  <c r="U620"/>
  <c r="U619" s="1"/>
  <c r="O83"/>
  <c r="O78" s="1"/>
  <c r="O71" s="1"/>
  <c r="O70" s="1"/>
  <c r="W620"/>
  <c r="W619" s="1"/>
  <c r="S620"/>
  <c r="S619" s="1"/>
  <c r="P730"/>
  <c r="P729" s="1"/>
  <c r="V730"/>
  <c r="V729" s="1"/>
  <c r="U783"/>
  <c r="Q730"/>
  <c r="Q729" s="1"/>
  <c r="M730"/>
  <c r="M729" s="1"/>
  <c r="Q620"/>
  <c r="Q619" s="1"/>
  <c r="T730"/>
  <c r="T729" s="1"/>
  <c r="O738"/>
  <c r="O730" s="1"/>
  <c r="O729" s="1"/>
  <c r="L730"/>
  <c r="L729" s="1"/>
  <c r="S730"/>
  <c r="S729" s="1"/>
  <c r="R744"/>
  <c r="R738" s="1"/>
  <c r="R730" s="1"/>
  <c r="R729" s="1"/>
  <c r="N32" i="4"/>
  <c r="N31" s="1"/>
  <c r="N30" s="1"/>
  <c r="N11" s="1"/>
  <c r="O48"/>
  <c r="O47" s="1"/>
  <c r="W31"/>
  <c r="W30" s="1"/>
  <c r="W11" s="1"/>
  <c r="T31"/>
  <c r="T30" s="1"/>
  <c r="T11" s="1"/>
  <c r="P30"/>
  <c r="P11" s="1"/>
  <c r="O32"/>
  <c r="R48"/>
  <c r="R47" s="1"/>
  <c r="Q31"/>
  <c r="Q30" s="1"/>
  <c r="S31"/>
  <c r="S30" s="1"/>
  <c r="S11" s="1"/>
  <c r="U32"/>
  <c r="U48"/>
  <c r="U47" s="1"/>
  <c r="M31"/>
  <c r="M30" s="1"/>
  <c r="M11" s="1"/>
  <c r="R32"/>
  <c r="R31" s="1"/>
  <c r="R30" s="1"/>
  <c r="R11" s="1"/>
  <c r="V31"/>
  <c r="V30" s="1"/>
  <c r="V11" s="1"/>
  <c r="O13"/>
  <c r="Q13"/>
  <c r="Q11" s="1"/>
  <c r="P494" i="1"/>
  <c r="P493" s="1"/>
  <c r="P469" s="1"/>
  <c r="P468" s="1"/>
  <c r="M620"/>
  <c r="M619" s="1"/>
  <c r="N730"/>
  <c r="N729" s="1"/>
  <c r="N494"/>
  <c r="N493" s="1"/>
  <c r="N469" s="1"/>
  <c r="N468" s="1"/>
  <c r="U588"/>
  <c r="U583" s="1"/>
  <c r="U574" s="1"/>
  <c r="U573" s="1"/>
  <c r="T620"/>
  <c r="T619" s="1"/>
  <c r="V494"/>
  <c r="V493" s="1"/>
  <c r="V469" s="1"/>
  <c r="V468" s="1"/>
  <c r="O371"/>
  <c r="L620"/>
  <c r="L619" s="1"/>
  <c r="R588"/>
  <c r="R583" s="1"/>
  <c r="R574" s="1"/>
  <c r="R573" s="1"/>
  <c r="P620"/>
  <c r="P619" s="1"/>
  <c r="U475"/>
  <c r="Q494"/>
  <c r="Q493" s="1"/>
  <c r="O588"/>
  <c r="O583" s="1"/>
  <c r="O574" s="1"/>
  <c r="O573" s="1"/>
  <c r="N620"/>
  <c r="N619" s="1"/>
  <c r="R475"/>
  <c r="S370"/>
  <c r="S369" s="1"/>
  <c r="U371"/>
  <c r="U515"/>
  <c r="S494"/>
  <c r="R494" s="1"/>
  <c r="R493" s="1"/>
  <c r="R469" s="1"/>
  <c r="R468" s="1"/>
  <c r="Q469"/>
  <c r="Q468" s="1"/>
  <c r="N370"/>
  <c r="N369" s="1"/>
  <c r="W494"/>
  <c r="W493" s="1"/>
  <c r="W469" s="1"/>
  <c r="W468" s="1"/>
  <c r="W11" s="1"/>
  <c r="O495"/>
  <c r="L494"/>
  <c r="L493" s="1"/>
  <c r="L469" s="1"/>
  <c r="L468" s="1"/>
  <c r="M494"/>
  <c r="M493" s="1"/>
  <c r="M469" s="1"/>
  <c r="M468" s="1"/>
  <c r="M11" s="1"/>
  <c r="R371"/>
  <c r="R495"/>
  <c r="T370"/>
  <c r="T369" s="1"/>
  <c r="T11" s="1"/>
  <c r="T469"/>
  <c r="T468" s="1"/>
  <c r="Q370"/>
  <c r="Q369" s="1"/>
  <c r="Q11" s="1"/>
  <c r="U495"/>
  <c r="O396"/>
  <c r="O395" s="1"/>
  <c r="U396"/>
  <c r="U395" s="1"/>
  <c r="O515"/>
  <c r="M370"/>
  <c r="L370"/>
  <c r="L369" s="1"/>
  <c r="L11" s="1"/>
  <c r="R396"/>
  <c r="R395" s="1"/>
  <c r="O344"/>
  <c r="O337" s="1"/>
  <c r="O336" s="1"/>
  <c r="V370"/>
  <c r="V369" s="1"/>
  <c r="O271"/>
  <c r="O264" s="1"/>
  <c r="O263" s="1"/>
  <c r="U344"/>
  <c r="U337" s="1"/>
  <c r="U336" s="1"/>
  <c r="R324"/>
  <c r="R318" s="1"/>
  <c r="R317" s="1"/>
  <c r="R344"/>
  <c r="R337" s="1"/>
  <c r="R336" s="1"/>
  <c r="U298"/>
  <c r="U292" s="1"/>
  <c r="U291" s="1"/>
  <c r="O324"/>
  <c r="O318" s="1"/>
  <c r="O317" s="1"/>
  <c r="U324"/>
  <c r="U318" s="1"/>
  <c r="U317" s="1"/>
  <c r="R298"/>
  <c r="R292" s="1"/>
  <c r="R291" s="1"/>
  <c r="R271"/>
  <c r="R264" s="1"/>
  <c r="R263" s="1"/>
  <c r="R174"/>
  <c r="R167" s="1"/>
  <c r="R166" s="1"/>
  <c r="U271"/>
  <c r="U264" s="1"/>
  <c r="U263" s="1"/>
  <c r="O298"/>
  <c r="O292" s="1"/>
  <c r="O291" s="1"/>
  <c r="O207"/>
  <c r="U265"/>
  <c r="U174"/>
  <c r="U167" s="1"/>
  <c r="U166" s="1"/>
  <c r="R207"/>
  <c r="O174"/>
  <c r="O167" s="1"/>
  <c r="O166" s="1"/>
  <c r="P203"/>
  <c r="P202" s="1"/>
  <c r="U207"/>
  <c r="R203"/>
  <c r="R202" s="1"/>
  <c r="O203"/>
  <c r="O202" s="1"/>
  <c r="U203"/>
  <c r="U202" s="1"/>
  <c r="P11" l="1"/>
  <c r="N11"/>
  <c r="V11"/>
  <c r="U730"/>
  <c r="U729" s="1"/>
  <c r="R370"/>
  <c r="R369" s="1"/>
  <c r="R11" s="1"/>
  <c r="O31" i="4"/>
  <c r="O30" s="1"/>
  <c r="O11" s="1"/>
  <c r="U31"/>
  <c r="U30" s="1"/>
  <c r="U11" s="1"/>
  <c r="O494" i="1"/>
  <c r="O493" s="1"/>
  <c r="O469" s="1"/>
  <c r="O468" s="1"/>
  <c r="O370"/>
  <c r="O369" s="1"/>
  <c r="O11" s="1"/>
  <c r="U494"/>
  <c r="U493" s="1"/>
  <c r="U469" s="1"/>
  <c r="U468" s="1"/>
  <c r="U370"/>
  <c r="U369" s="1"/>
  <c r="U11" s="1"/>
  <c r="S493"/>
  <c r="S469" s="1"/>
  <c r="S468" s="1"/>
  <c r="S11" s="1"/>
  <c r="L5" i="4" l="1"/>
  <c r="V5"/>
  <c r="S5"/>
  <c r="O5"/>
  <c r="T5"/>
  <c r="M5"/>
  <c r="N5"/>
  <c r="P5"/>
  <c r="Q5"/>
  <c r="W5"/>
  <c r="U5" l="1"/>
  <c r="R5"/>
  <c r="N5" i="1" l="1"/>
  <c r="W5"/>
  <c r="T5"/>
  <c r="P5"/>
  <c r="M5"/>
  <c r="Q5"/>
  <c r="S5"/>
  <c r="V5"/>
  <c r="U5" l="1"/>
  <c r="L5"/>
  <c r="O5"/>
  <c r="R5"/>
</calcChain>
</file>

<file path=xl/sharedStrings.xml><?xml version="1.0" encoding="utf-8"?>
<sst xmlns="http://schemas.openxmlformats.org/spreadsheetml/2006/main" count="4907" uniqueCount="1542">
  <si>
    <t>№</t>
  </si>
  <si>
    <t>Дата вступления в силу нормативного правового акта, договора, соглашения</t>
  </si>
  <si>
    <t>Объем средств на исполнение расходного обязательства 
(тыс. рублей)</t>
  </si>
  <si>
    <t>РЗ</t>
  </si>
  <si>
    <t>ПР</t>
  </si>
  <si>
    <t>ЦС</t>
  </si>
  <si>
    <t>ВР</t>
  </si>
  <si>
    <t>БДО</t>
  </si>
  <si>
    <t>БПО</t>
  </si>
  <si>
    <t>А</t>
  </si>
  <si>
    <t>1.1.</t>
  </si>
  <si>
    <t>1.2.</t>
  </si>
  <si>
    <t>2.1.</t>
  </si>
  <si>
    <t>2.2.</t>
  </si>
  <si>
    <t>6.1.</t>
  </si>
  <si>
    <t>Б</t>
  </si>
  <si>
    <t>Расходные обязательства по социальному обеспечению населения</t>
  </si>
  <si>
    <t>1.</t>
  </si>
  <si>
    <t>2.</t>
  </si>
  <si>
    <t>Г</t>
  </si>
  <si>
    <t>1.3.</t>
  </si>
  <si>
    <t>3.1.</t>
  </si>
  <si>
    <t>4.</t>
  </si>
  <si>
    <t>Ж</t>
  </si>
  <si>
    <t>Коды классификации 
расходов бюджетов</t>
  </si>
  <si>
    <t>1</t>
  </si>
  <si>
    <t>8</t>
  </si>
  <si>
    <t>Содержание расходного обязательства</t>
  </si>
  <si>
    <t>Дата окончания действия нормативного правового акта, договора, соглашения</t>
  </si>
  <si>
    <t>Всего</t>
  </si>
  <si>
    <t>Реквизиты нормативного правового акта, договора, соглашения (тип, дата, номер, наименование), номер статьи, части, пункта, подпункта, абзаца</t>
  </si>
  <si>
    <t>Иные расходы</t>
  </si>
  <si>
    <t>Закупка товаров, работ, услуг в целях содержания казенных учреждений</t>
  </si>
  <si>
    <t>4.1.1.</t>
  </si>
  <si>
    <t>4.1.2.</t>
  </si>
  <si>
    <t>Субсидии бюджетным учреждениям на иные цели</t>
  </si>
  <si>
    <t>4.1. Предоставление субсидий бюджетным учреждениям</t>
  </si>
  <si>
    <t>4.2. Предоставление субсидий автономным учреждениям</t>
  </si>
  <si>
    <t>4.2.1.</t>
  </si>
  <si>
    <t>Субсидии автономным учреждениям на иные цели</t>
  </si>
  <si>
    <t>4.2.2.</t>
  </si>
  <si>
    <t>Публичные нормативные социальные выплаты гражданам</t>
  </si>
  <si>
    <t>3.1.1.</t>
  </si>
  <si>
    <t>4.1.1.1.</t>
  </si>
  <si>
    <t>4.1.2.1.</t>
  </si>
  <si>
    <t>4.2.1.1.</t>
  </si>
  <si>
    <t>4.2.2.1.</t>
  </si>
  <si>
    <t>Социальные выплаты гражданам, кроме публичных нормативных социальных выплат</t>
  </si>
  <si>
    <t>2.1.1.</t>
  </si>
  <si>
    <t>2.2.1.</t>
  </si>
  <si>
    <t>2..3.</t>
  </si>
  <si>
    <t>2.3.1.</t>
  </si>
  <si>
    <t>5</t>
  </si>
  <si>
    <t>6</t>
  </si>
  <si>
    <t>7</t>
  </si>
  <si>
    <t>9</t>
  </si>
  <si>
    <t>З</t>
  </si>
  <si>
    <t xml:space="preserve">1. Содержание органа государственной власти </t>
  </si>
  <si>
    <t>Выплаты персоналу казенных учреждений</t>
  </si>
  <si>
    <t>3</t>
  </si>
  <si>
    <t>4</t>
  </si>
  <si>
    <t>Наименование муниципальной услуги (работы)</t>
  </si>
  <si>
    <t>ВСЕГО (по ГРБС)</t>
  </si>
  <si>
    <t>4.2.1.2.</t>
  </si>
  <si>
    <t>4.2.1.3.</t>
  </si>
  <si>
    <t>2.1.2.</t>
  </si>
  <si>
    <t>2.1.3.</t>
  </si>
  <si>
    <t>Расходные обязательства по оказанию муниципальных услуг (выполнению работ), включая ассигнования на закупки товаров, работ, услуг для обеспечения муниципальных нужд</t>
  </si>
  <si>
    <t>Выплаты персоналу органа местного самоуправления</t>
  </si>
  <si>
    <t>Закупка товаров, работ, услуг в целях содержания органа местного самоуправления</t>
  </si>
  <si>
    <t>2.2.2.</t>
  </si>
  <si>
    <t>2.2.3.</t>
  </si>
  <si>
    <t>2.3.2.</t>
  </si>
  <si>
    <t xml:space="preserve">3. Закупка товаров, работ, услуг для муниципальных нужд (за исключением обеспечения выполнения функций казенного учреждения и бюджетных инвестиций в объекты муниципальной собственности казенных учреждений) </t>
  </si>
  <si>
    <t>3.1.2.</t>
  </si>
  <si>
    <t>4. Предоставление субсидий бюджетным и автономным учреждениям, включая субсидии на финансовое обеспечение выполнения ими муниципального задания (за исключением субсидий на осуществление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</si>
  <si>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4.1.1.2.</t>
  </si>
  <si>
    <t>3.1.3.</t>
  </si>
  <si>
    <t xml:space="preserve">Субсидии автономным учреждениям на финансовое обеспечение муниципального задания на оказание муниципальных услуг (выполнение работ)
</t>
  </si>
  <si>
    <t>Расходные обязательства по исполнению судебных актов по искам к городскому округу г.Бор о возмещении вреда, причиненного гражданину или юридическому лицу в результате незаконных действий (бездействия) органов местного самоуправления либо должностных лиц этих органов</t>
  </si>
  <si>
    <t>10</t>
  </si>
  <si>
    <t>11</t>
  </si>
  <si>
    <t>12</t>
  </si>
  <si>
    <t>13</t>
  </si>
  <si>
    <t>14</t>
  </si>
  <si>
    <t>15</t>
  </si>
  <si>
    <t>16</t>
  </si>
  <si>
    <t>17</t>
  </si>
  <si>
    <t>2. Обеспечение выполнения функций казенных учреждений, в том числе по оказанию муниципальных услуг (выполнению работ) физическим и (или) юридическим лицам</t>
  </si>
  <si>
    <t>Иные закупки товаров, работ и услуг для муниципальных нужд</t>
  </si>
  <si>
    <t xml:space="preserve">Субсидии бюджетным учреждениям на финансовое обеспечение муниципального задания на оказание муниципальных услуг (выполнение
работ)
</t>
  </si>
  <si>
    <t>МП</t>
  </si>
  <si>
    <t>01</t>
  </si>
  <si>
    <t>04</t>
  </si>
  <si>
    <t>7770226000</t>
  </si>
  <si>
    <t>03</t>
  </si>
  <si>
    <t>2020100590</t>
  </si>
  <si>
    <t>09</t>
  </si>
  <si>
    <t>05</t>
  </si>
  <si>
    <t>Организация и содержание мест захоронения</t>
  </si>
  <si>
    <t>0540100590</t>
  </si>
  <si>
    <t>004</t>
  </si>
  <si>
    <t>005</t>
  </si>
  <si>
    <t>Краснослободский территориальный отдел администрации городского округа г.Бор</t>
  </si>
  <si>
    <t>Обеспечение пожарной безопасности</t>
  </si>
  <si>
    <t xml:space="preserve">1)01.01.2006
2)21.12.1994
3)26.10.1995
4)01.01.2015
</t>
  </si>
  <si>
    <t>Реализация мероприятий направленных на содержание дорог общего пользования</t>
  </si>
  <si>
    <t>Реализация мероприятий направленных на ремонт дорог общего пользования, тротуаров и дворовых территорий</t>
  </si>
  <si>
    <t>0820124100</t>
  </si>
  <si>
    <t>Реализация мероприятий направленных на уличное освещение</t>
  </si>
  <si>
    <t>Реализация мероприятий направленных на озеленение</t>
  </si>
  <si>
    <t>Реализация мероприятий направленных на содержание кладбищ</t>
  </si>
  <si>
    <t>Прочие работы по благоустройству</t>
  </si>
  <si>
    <t>Расходы на обеспечение деятельности подведомственных учреждений</t>
  </si>
  <si>
    <t>7770100190</t>
  </si>
  <si>
    <t xml:space="preserve">№131-ФЗ «Об общих принципах организации местного самоуправления в РФ» ст.34, п.9
№25-ФЗ «О муниципальной службе в РФ» ст.22, п.2
№ 99-з от 03.08.2007 г. " О муниципальной службе в Нижегородской области"
Решение совета Депутатов № 39 от  30.09.2010 </t>
  </si>
  <si>
    <t xml:space="preserve">№131-ФЗ «Об общих принципах организации местного самоуправления в РФ» ст.34, п.9
№100-ФЗ «О добровольной пожарной охране»
№69-ФЗ «О пожарной безопасности»
№68-ФЗ «О защите населения и территории от ЧС природного и техногенного характера»
</t>
  </si>
  <si>
    <t>Противопожарные мероприятия</t>
  </si>
  <si>
    <t xml:space="preserve">№131-ФЗ «Об общих принципах организации местного самоуправления в РФ» ст.34, п.9
№33-ФЗ «Об особо охраняемым природных территориях»
№89-ФЗ «Об отходах производства и потребления»
</t>
  </si>
  <si>
    <t>4.1.1.4.</t>
  </si>
  <si>
    <t>Организация освещения улиц</t>
  </si>
  <si>
    <t>0540125050</t>
  </si>
  <si>
    <t>007</t>
  </si>
  <si>
    <t>08202S2600</t>
  </si>
  <si>
    <t>1710421050</t>
  </si>
  <si>
    <t>008</t>
  </si>
  <si>
    <t>0540125030</t>
  </si>
  <si>
    <t>009</t>
  </si>
  <si>
    <t>010</t>
  </si>
  <si>
    <t xml:space="preserve">1) не установлена         2) не установлена                   </t>
  </si>
  <si>
    <t>Обеспечение первичных мер пожарной безопасности</t>
  </si>
  <si>
    <t>011</t>
  </si>
  <si>
    <t>Ямновский территориальный отдел администрации городского округа город Бор Нижегородской области</t>
  </si>
  <si>
    <t>1) 07.03.2007   2) 12.12.2005    3) 14.03.1995;   4) 30.12.2015;   5) 30.06.2007.</t>
  </si>
  <si>
    <t>012</t>
  </si>
  <si>
    <t>Большепикинский территориальный отдел администрации городского округа г.Бор</t>
  </si>
  <si>
    <t>013</t>
  </si>
  <si>
    <t>Прочие выплаты по обязательствам городского округа</t>
  </si>
  <si>
    <t>014</t>
  </si>
  <si>
    <t>330</t>
  </si>
  <si>
    <t>349</t>
  </si>
  <si>
    <t>Управление ЖКХ и благоустройства администрации городского округа город Бор</t>
  </si>
  <si>
    <t>200</t>
  </si>
  <si>
    <t>02</t>
  </si>
  <si>
    <t>06</t>
  </si>
  <si>
    <t>357</t>
  </si>
  <si>
    <t>07</t>
  </si>
  <si>
    <t>366</t>
  </si>
  <si>
    <t>621</t>
  </si>
  <si>
    <t>622</t>
  </si>
  <si>
    <t>001</t>
  </si>
  <si>
    <t>Департамент финансов администрации городского округа город Бор Нижегородской области</t>
  </si>
  <si>
    <t>Осуществление информационной, технической и консультационной поддержки в сфере управления муниципальными финансами</t>
  </si>
  <si>
    <t>Обеспечение обязательств, принятых ранее в рамках софинансирования областной целевой программы "Молодой семье - доступное жилье" на 2004-2010 годы</t>
  </si>
  <si>
    <t>2.3.</t>
  </si>
  <si>
    <t>5.1.</t>
  </si>
  <si>
    <t>6.</t>
  </si>
  <si>
    <t>Е</t>
  </si>
  <si>
    <t>Расходные обязательства по обслуживанию муниципального долга городского округа г.Бор</t>
  </si>
  <si>
    <t>Своевременное исполнение долговых обязательств городского округа город Бор</t>
  </si>
  <si>
    <t>Резервный фонд администрации городского округа</t>
  </si>
  <si>
    <t>374</t>
  </si>
  <si>
    <t>0830100250</t>
  </si>
  <si>
    <t xml:space="preserve">5. Предоставление субсидий некоммерческим организациям, не являющимся муниципальными учреждениями, в том числе в соответствии с договорами (соглашениями) на оказание указанными организациями муниципальных услуг (выполнение работ) физическим и (или) юридическим лицам
</t>
  </si>
  <si>
    <t xml:space="preserve">Расходы  на осуществление полномочий по организационно-техническому и информационно- методическому сопровождению аттестации педагогических работников </t>
  </si>
  <si>
    <t xml:space="preserve">Расходы  на осуществление полномочий по организации и осуществлению деятельности по опеке и попечительству в отношении несовершеннолетних граждан  </t>
  </si>
  <si>
    <t>0120273070</t>
  </si>
  <si>
    <t>382</t>
  </si>
  <si>
    <t>488</t>
  </si>
  <si>
    <t>Администрация городского округа город Бор Нижегородской области</t>
  </si>
  <si>
    <t>Расходы на обеспечение функций муниципальных органов</t>
  </si>
  <si>
    <t>2.3.3.</t>
  </si>
  <si>
    <t>5.2.</t>
  </si>
  <si>
    <t>02102S2200</t>
  </si>
  <si>
    <t>310</t>
  </si>
  <si>
    <t>1.4.</t>
  </si>
  <si>
    <t>320</t>
  </si>
  <si>
    <t>3.</t>
  </si>
  <si>
    <t>0540125060</t>
  </si>
  <si>
    <t xml:space="preserve">1) Федеральный закон от 06.10.2003 № 131-ФЗ "Об общих принципах организации местного самоуправления в Российской Федерации" ст. 14, п. 1, п.п. 5
2)Постановление Правительства Российской Федерации от 03.12.2002 № 858 "О федеральной целевой программе "Социальное развитие села до 2013 года" п. 4
3) Закон Нижегородской области от 04.12.2008 № 157-З "Об автомобильных дорогах и дорожной деятельности на территории Нижегородской области" ст. 9, п. 4
</t>
  </si>
  <si>
    <t xml:space="preserve">1) Закон Нижегородской области "Об охране озелененных территорий Нижегородской области" №110-з ст.7,п.3 от 07.03.2007;                        2) Постановление Правительства Нижегородской области "Об утверждении типовых праил санитарного содержания территорий, организации уборки и обеспечения чистоты и порядка на территории НО" №309 п.2 от 12.12.2005;               3) Федеральный Закон "Об особо охраняемых природных территориях" 33-ФЗ ст.2, п.6 от 14.03.1995;                          4) Федеральный Закон "Об общих принципах организации местного самоуправления в Российской Федерации" 131-ФЗ ст.14, п.1 п.п 19 от 06.10.2003г;                5) Постановления Правительства РФ "Об утверждении пожарной безопасности в лесах" №417 п.1 от 30.06.2007                              </t>
  </si>
  <si>
    <t>1).ФЗ №131 от 06.10.2003г. "Об общих принципах организации местного самоуправления в Российской Федерации" ст 17 ч1 п7                                          2) Устав муниципального образования городского округа город Бор, утвержденного Советом депутатов городского округа город Бор от 25.01.2011г. №1</t>
  </si>
  <si>
    <t>0440100240</t>
  </si>
  <si>
    <t>1740227000</t>
  </si>
  <si>
    <t>2020125110</t>
  </si>
  <si>
    <t>0810124100</t>
  </si>
  <si>
    <t>0540125010</t>
  </si>
  <si>
    <t>0150273020</t>
  </si>
  <si>
    <t>0150273010</t>
  </si>
  <si>
    <t>0110273110</t>
  </si>
  <si>
    <t>0130273320</t>
  </si>
  <si>
    <t>2.3.1.1.</t>
  </si>
  <si>
    <t>7770322000</t>
  </si>
  <si>
    <t>МКУ "Краснослободский центр обеспечения и содержания территории"</t>
  </si>
  <si>
    <t>05402S2600</t>
  </si>
  <si>
    <t>1. Федеральный закон "Об общих принципах организации местного самоуправления в Российской Федерации" 131-ФЗ от 06.10.2003 ст.34, п.9;                             2.Федеральный закон "О муниципальной службе в Российской Федерации" 25-ФЗ от 02.03.2007г.;                                   3.Закон Нижегородской области "О муниципальной службе в НО" №99-З от 03.08.2007г ст.38                       4.Закон Нижегородской области "О денежном содержании лиц замещающих муниципальные должности в НО" №93-З от 10.10.2003г. ст.6                                    5.Решение Совета депутатов городского округа г. Бор от 30.09.2010 № 39 "Об утверждении Положения о муниципальной службе в городском округе город Бор", ст. 26</t>
  </si>
  <si>
    <t xml:space="preserve">1.Федеральный закон " Об общих принципах организации местного самоуправления в Российской Федерации" от 16.09.2003 г. № 131-фз  ст. 34 п. 9;                                       2.Закон Нижегородской области " О муниципальной службе" от 03.08.2007 г. № 99-з, гл 9 ст. 38                                                  3.  Решение Совета депутатов городского округа г.Бор от 30.09.2010 № 39 "Об утверждении Положения о муниципальной службе в городском округе г.Бор", ст. 26                 </t>
  </si>
  <si>
    <t>Соглашение № 1 от 2005 года "О долгосрочном кредитовании физических лиц в рамках программы "Молодой семье - доступное жилье" за счет средств Волго-Вятского банка СБ РФ и бюджетных средств в части компенсации процентов за кредит</t>
  </si>
  <si>
    <t>Постановление администрации городского округа город Бор от 30.12.2014 № 9714 "Об утверждении порядка использования бюджетных ассигнований резервного фонда администрации городского округа город Бор"</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</si>
  <si>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 г. Бор от 30.09.2010 № 39 "Об утверждении Положения о муниципальной службе в городском округе город Бор" </t>
  </si>
  <si>
    <t>1)01.01.2006,                         
2)02.03.2007, 3)03.08.2007.
4)10.10.2003
5)01.01.2011</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</si>
  <si>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 постановление Администрации от 31.10.2016 № 5058 «О внесении изменения в Порядок формирования системы оплаты труда работников муниципальных учреждений городского округа г.Бор Нижегородской области, утвержденный постановлением администрации городского округа г.Бор от 18.05.2015 № 2306</t>
  </si>
  <si>
    <t xml:space="preserve">1)01.01.2006
2)21.12.1994
3)26.10.1995                                                                                                                                                                                                                                                         4)06.05.2011
5)01.01.2017
</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</si>
  <si>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"Краснослободский ЦО и СТ" 5591 от 25.11.16            </t>
  </si>
  <si>
    <t xml:space="preserve">1)01.01.2006
2)01.01.1996
3) 31.07.1998                                                     
4)25.11.2016
</t>
  </si>
  <si>
    <t xml:space="preserve">1) Федеральный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t>
  </si>
  <si>
    <t>1)01.01.2006
2)01.01.1996
3) 31.07.1998                                                     
4)25.11.2016</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</si>
  <si>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t>
  </si>
  <si>
    <t xml:space="preserve">1) "Об автомобильных дорогах и дорожной деятельности на территории Нижегородской области" Закон Нижегородской области 108-з ст.24, п.4 от 31.05.2000г;                        2) Об втомобильных дорогах и дорожной деятельности на территории НО "Закон Нижегородской области 157-з ст.9, п.4 от 04.12.2008;                            3) Федеральный Закон "Об общих принципах организации местного самоуправления в Российской Федерации" 131ФЗ ст.14 п.1 п.п 1 от 06.10.2003;        </t>
  </si>
  <si>
    <t xml:space="preserve">1) Закон Нижегородской области "Об охране озелененных территорий Нижегородской области" №110-з ст.7,п.3 от 07.03.2007;                        2) Постановление Правительства Нижегородской области "Об утверждении типовых праил санитарного содержания территорий, организации уборки и обеспечения чистоты и порядка на территории НО" №309 п.2 от 12.12.2005;               3) Федеральный Закон "Об особо охраняемых природных территориях" 33-ФЗ ст.2, п.6 от 14.03.1995;                          4) Федеральный Закон "Об общих принципах организации местного самоуправления в Российской Федерации" 131-ФЗ ст.14, п.1 п.п 19 от 06.10.2003г;                5) Постановления Правительства РФ "Об утверждении пожарной безопасности в лесах" №417 п.1 от 30.06.2007     </t>
  </si>
  <si>
    <t>1.2.2</t>
  </si>
  <si>
    <t>Расходные обязательства по предоставлению субсидий юридическим лицам (за исключением субсидий муниципальным учреждениям), индивидульным предпринимателям, физическим лицам</t>
  </si>
  <si>
    <t>1.3</t>
  </si>
  <si>
    <t>1.4</t>
  </si>
  <si>
    <t>5.</t>
  </si>
  <si>
    <t xml:space="preserve">Расходы на осуществление выплаты компенсации части родительской платы за присмотр и уход за ребенком в муниципальных дошкольных образовательных организациях,в том числе обеспечение организации выплаты компенсации части родительской платы за счет средств субвенции из областного бюджета </t>
  </si>
  <si>
    <t>Расходы за счет субвенции на  осуществление выплат на возмещение части расходов по приобретению путевок в детские санатории,санаторно-оздоровительные лагеря круглогодичного действия , расположенные на территории РФ</t>
  </si>
  <si>
    <t>0110273170</t>
  </si>
  <si>
    <t>0120273180</t>
  </si>
  <si>
    <t>Реализация основных общеобразовательных программ дошкольного образования</t>
  </si>
  <si>
    <t>Выплаты персоналу органа местного самоуправления, в.т.ч.:</t>
  </si>
  <si>
    <t>02103S2450</t>
  </si>
  <si>
    <t>Таблица 2. ПРЕДВАРИТЕЛЬНЫЙ (ПЛАНОВЫЙ) РЕЕСТР РАСХОДНЫХ ОБЯЗАТЕЛЬСТВ ГОРОДСКОГО ОКРУГА ГОРОД БОР НИЖЕГОРОДСКОЙ ОБЛАСТИ (РЕЕСТР РАСХОДНЫХ ОБЯЗАТЕЛЬСТВ СУБЪЕКТОВ БЮДЖЕТНОГО ПЛАНИРОВАНИЯ ГОРОДСКОГО ОКРУГА ГОРОД БОР) ПО РАСХОДНЫМ ОБЯЗАТЕЛЬСТВАМ, ИСПОЛНЯЕМЫМ ЗА СЧЕТ СУБВЕНЦИЙ ИЗ ФЕДЕРАЛЬНОГО И ОБЛАСТНОГО БЮДЖЕТА И ИСТОЧНИКОВ ФИНАНСИРОВАНИЯ ДЕФИЦИТА БЮДЖЕТА В ЧАСТИ ОСТАТКОВ СУБВЕНЦИЙ ПРОШЛЫХ ЛЕТ</t>
  </si>
  <si>
    <t>городского округа г.Бор</t>
  </si>
  <si>
    <t>ИТОГО по городскому округу</t>
  </si>
  <si>
    <t>0540125020</t>
  </si>
  <si>
    <t>0540125040</t>
  </si>
  <si>
    <t>0820525100</t>
  </si>
  <si>
    <t>Иные выплаты населению</t>
  </si>
  <si>
    <t>0120273380</t>
  </si>
  <si>
    <t>Премии и гранты</t>
  </si>
  <si>
    <t>7.</t>
  </si>
  <si>
    <t>8.</t>
  </si>
  <si>
    <t>9.</t>
  </si>
  <si>
    <t>Октябрьский территориальный отдел администрации городского округа г.Бор</t>
  </si>
  <si>
    <t>2.1.1.1</t>
  </si>
  <si>
    <t xml:space="preserve">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</si>
  <si>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2.1.1.2</t>
  </si>
  <si>
    <t>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</si>
  <si>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2.2.1.1</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</si>
  <si>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5)постановление от 09.11.2016 № 5242 «Об утверждении муниципальной программы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г.Бор»                                                                                                                            6)ПОСТАНОВЛЕНИЕ от 30.06.2017 № 3608 О внесении изменений в муниципальную программу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утвержденную постановлением администрации городского округа г. Бор  от 09.11.2016  № 5242                                                                                                                                                                                                                                                                  7)постановление от 14.09.2016 № 4368 «Об обеспечении пожарной безопасности объектов и населенных пунктов городского округа г.Бор в осенне-зимний период 2016-2017 годов» 
</t>
  </si>
  <si>
    <t>1)01.01.2006
2)21.12.1994
3)26.10.1995                                                                                                                                                                                                                                                         4)06.05.2011
5) 01.01.2017 6)01.07.2017 7)14.09.201</t>
  </si>
  <si>
    <t>2.2.1.2</t>
  </si>
  <si>
    <t>обеспечение противопожарных мероприятий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</si>
  <si>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2.2.1.3</t>
  </si>
  <si>
    <t>2.2.1.4</t>
  </si>
  <si>
    <t>обеспечение мероприятий, направленных на содержание дорог, в рамках МП "Содержание и развитие дорожного хозяйства городского округа г.Бор "</t>
  </si>
  <si>
    <t xml:space="preserve">1)01.01.2006,
2)01.01.2003
3)14.12.2008
1)01.01.2006,
2)01.01.2003
3)14.12.2008
</t>
  </si>
  <si>
    <t>2.2.1.5</t>
  </si>
  <si>
    <t>обеспечение мероприятий, направленных на содержание и уборку территории улиц, тротуаров, площадей</t>
  </si>
  <si>
    <t>2.2.1.6</t>
  </si>
  <si>
    <t>обеспечение мероприятий по озеленению в рамках МП«Развитие сферы  жилищно-коммунального хозяйства городского округа город Бор»</t>
  </si>
  <si>
    <t>2.2.1.7</t>
  </si>
  <si>
    <t>2.2.1.8</t>
  </si>
  <si>
    <t>обеспечение прочих мероприятий по благоустройству в рамках МП«Развитие сферы  жилищно-коммунального хозяйства городского округа город Бор»</t>
  </si>
  <si>
    <t>2.2.1.9</t>
  </si>
  <si>
    <t>0540325070</t>
  </si>
  <si>
    <t>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</si>
  <si>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обеспечение мероприятий по ремонту дорог в рамках МП "Содержание и развитие дорожного хозяйства городского округа г.Бор "</t>
  </si>
  <si>
    <t>2.2.1.10</t>
  </si>
  <si>
    <t>2.2.1.11</t>
  </si>
  <si>
    <t>2.2.1.12</t>
  </si>
  <si>
    <t>2.2.1.13</t>
  </si>
  <si>
    <t>2.3</t>
  </si>
  <si>
    <t>Муниципальная программа «Защита населения и территорий от чрезвычайных ситуаций,обеспечение пожарной безопасности людей на водных объектах городского округа г.Бор Нижегородской области на 2017 год»</t>
  </si>
  <si>
    <t>Муниципальная программа «Развитие сферы жилищно-коммунального хозяйства городского округа город Бор»</t>
  </si>
  <si>
    <t>2.2.4</t>
  </si>
  <si>
    <t>Уборка территории и аналогичная деятельность, озеленение</t>
  </si>
  <si>
    <t>2.2.5</t>
  </si>
  <si>
    <t>2.2.6</t>
  </si>
  <si>
    <t>2.2.7</t>
  </si>
  <si>
    <t>реализация проекта поддержки местных инициатив</t>
  </si>
  <si>
    <t xml:space="preserve">Расходы на обеспечение деятельности подведомственных учреждений </t>
  </si>
  <si>
    <t>Муниципальная программа "Содержание и развитие дорожного хозяйства городского округа г.Бор"</t>
  </si>
  <si>
    <t>Реализация мероприятий направленных на ремонт дорог общего пользования,тротуаров и дворовых территорий</t>
  </si>
  <si>
    <t>2</t>
  </si>
  <si>
    <t>Благоустройство</t>
  </si>
  <si>
    <t>Реализация мероприятий, направленных на содержание и уборку территорий улиц, тротуаров, площадей</t>
  </si>
  <si>
    <t>2.2.10</t>
  </si>
  <si>
    <t>2.3.1</t>
  </si>
  <si>
    <t>2.3.1.1</t>
  </si>
  <si>
    <t>2.3.1.2</t>
  </si>
  <si>
    <t>2.2.8</t>
  </si>
  <si>
    <t>2.2.9</t>
  </si>
  <si>
    <t xml:space="preserve"> МКУ "Краснослободский центр обеспечения и содержания территории"</t>
  </si>
  <si>
    <t>Реализация мероприятия направленных на содержание и уборку территорий улиц, тротуаров, площадей</t>
  </si>
  <si>
    <t xml:space="preserve"> МКУ "Краснослободский центр обеспечения и содержания территории" </t>
  </si>
  <si>
    <t>2.2.11</t>
  </si>
  <si>
    <t>2.2.12</t>
  </si>
  <si>
    <t>2.2.15</t>
  </si>
  <si>
    <t>д.б</t>
  </si>
  <si>
    <t>367</t>
  </si>
  <si>
    <t>Исполнитель: Хализова Т.П</t>
  </si>
  <si>
    <t>тел.8-83159-37113</t>
  </si>
  <si>
    <t>06 
13</t>
  </si>
  <si>
    <t>Обеспечение проведения выборов и референдумов</t>
  </si>
  <si>
    <t>7770200905</t>
  </si>
  <si>
    <t>2.2.13</t>
  </si>
  <si>
    <t>2.2.14</t>
  </si>
  <si>
    <t>обеспечение мероприятий по уличному освещению в рамках МП«Развитие сферы  жилищно-коммунального хозяйства городского округа город Бор»</t>
  </si>
  <si>
    <t>обеспечение мероприятий по ликвидация несанкционированных свалокв рамках МП«Развитие сферы  жилищно-коммунального хозяйства городского округа город Бор»</t>
  </si>
  <si>
    <t>обеспечение мероприятий по содержанию кладбищ в рамках МП«Развитие сферы  жилищно-коммунального хозяйства городского округа город Бор»</t>
  </si>
  <si>
    <t>обеспечение мероприятиий по приобретению и установке элементов детских и спортивных площадок на территории городского округа г.Бор, основанных на инициативах граждан в рамках МП«Развитие сферы  жилищно-коммунального хозяйства городского округа город Бор»</t>
  </si>
  <si>
    <t>Реализация мероприятиий по приобретению и установке элементов детских и спортивных площадок на территории городского округа г.Бор, основанных на инициативах граждан</t>
  </si>
  <si>
    <t>обеспечение деятельности подведомственных учреждений 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</si>
  <si>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обеспечения и содержания территории" 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</si>
  <si>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1.2</t>
  </si>
  <si>
    <t>МКУ 1</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</si>
  <si>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t>
  </si>
  <si>
    <t>1)06.10.2006,                         
2)02.03.2007, 3)03.08.2007.
4)10.10.2003</t>
  </si>
  <si>
    <t>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</si>
  <si>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</si>
  <si>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t>
  </si>
  <si>
    <t>в рамках МП "Содержание и развитие дорожного хозяйства городского округа город Бор"</t>
  </si>
  <si>
    <t>в рамках МП "Развитие сферы жилищно-коммунального хозяйства городского округа г.Бор"</t>
  </si>
  <si>
    <t>Неклюдовский территориальный отдел администрации городского округа г.Бор</t>
  </si>
  <si>
    <t>24106S2300</t>
  </si>
  <si>
    <t>09302L4670</t>
  </si>
  <si>
    <t>1.2.1</t>
  </si>
  <si>
    <t>Расходы на обеспечение доступа к системе электронного документооборота</t>
  </si>
  <si>
    <t>Возмещение части затрат на приобретение оборудования и техники за счет средств областного бюджета</t>
  </si>
  <si>
    <t>1310773220</t>
  </si>
  <si>
    <t>04101L4970</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</si>
  <si>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</si>
  <si>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утверждение правил благоустройства территории городского округа, осуществление контроля за их соблюдением</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</si>
  <si>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</si>
  <si>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t>
  </si>
  <si>
    <t>Приобретение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 
(пришкольные лагеря)и проведение культурно- массовых мероприятий в пришкольных лагерях</t>
  </si>
  <si>
    <t>01601S2180</t>
  </si>
  <si>
    <t>Закон Нижегородской области от 7 сентября 2007 года № 125-З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по организации и осуществлению деятельности по опеке и попечительству в отношении несовершеннолетних граждан" (статья 5 пункт 2,3,4)</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</si>
  <si>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пункт 4²)</t>
  </si>
  <si>
    <t>1.2.3</t>
  </si>
  <si>
    <t>Закон Нижегородской области от 7 сентября 2007 года № 121-З "О наделении органов местного самоуправления муниципальных районов и городских округов Нижегородской области государственными полномочиями по предоставлению мер социальной поддержки отдельным категориям граждан" (Приложение 5)</t>
  </si>
  <si>
    <t>Закон Нижегородской области от 7 сентября 2007  года № 121-З "О наделении органов местного самоуправления муниципальных районов и городских округов Нижегородской области государственными полномочиями по предоставлению мер социальной поддержки отдельным категориям граждан" (Приложение 3)</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</si>
  <si>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 (Приложение 2 пункт 4)</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</si>
  <si>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часть 4⁸)</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</si>
  <si>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часть 4⁹)</t>
  </si>
  <si>
    <t>0120273140</t>
  </si>
  <si>
    <t>"Предоставление общедоступного и бесплатного начального общего,основного общего,среднего общего образования по основным и дополнительным образовательным программам "</t>
  </si>
  <si>
    <t>ЧОУ РО "НЕРПЦ(МП)" "Православная гимназия Дмитрия Донского"</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</si>
  <si>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 статья 5 часть 4⁵)</t>
  </si>
  <si>
    <t>Расходы на осуществление выплат на возмещение части расходов по приобретению путевок в детские санатории, санаторно-оздоровительные центры (лагеря) круглогодичного действия, расположенные на территории Российской Федерации за счет средств субвенции из областного бюджета</t>
  </si>
  <si>
    <t>Управление сельского хозяйства администрации городского округа город Бор Нижегородской области</t>
  </si>
  <si>
    <t>Кантауровский территориальный отдел администрации городского округа город Бор Нижегородской области</t>
  </si>
  <si>
    <t>Редькинский территориальный отдел администрации городского округа город Бор Нижегородской области</t>
  </si>
  <si>
    <t>01201S2490</t>
  </si>
  <si>
    <t>01201L3040</t>
  </si>
  <si>
    <t>Код РО</t>
  </si>
  <si>
    <t>04-2601                  04-2602</t>
  </si>
  <si>
    <t>04-2601</t>
  </si>
  <si>
    <t xml:space="preserve">01
</t>
  </si>
  <si>
    <t xml:space="preserve">06 
</t>
  </si>
  <si>
    <t xml:space="preserve">1750100190
</t>
  </si>
  <si>
    <t>04-2605</t>
  </si>
  <si>
    <t xml:space="preserve">13
</t>
  </si>
  <si>
    <t xml:space="preserve">1750200590
</t>
  </si>
  <si>
    <t>04-2502                    04-2601</t>
  </si>
  <si>
    <t>04-2613</t>
  </si>
  <si>
    <t>04-2508</t>
  </si>
  <si>
    <t>04-2603                 04-2604</t>
  </si>
  <si>
    <t>04-2624</t>
  </si>
  <si>
    <t>Линдовский территориальный отдел Администрации городского округа город Бор Нижегородской области</t>
  </si>
  <si>
    <t>06.10.2003         02.03.2007</t>
  </si>
  <si>
    <t>06.10.2003   06.05.2011       21.12.1994</t>
  </si>
  <si>
    <t>06.10.2003    14.03.1995    24.06.9</t>
  </si>
  <si>
    <t xml:space="preserve">Мероприятия , направленные на  содержание  дорог общего пользования, тротуаров </t>
  </si>
  <si>
    <t>06.10.2003    14.03.1995     24.06.9</t>
  </si>
  <si>
    <t>1) 01.01.2006             2) 12.01.1996             3) 21.06.2005</t>
  </si>
  <si>
    <t>Реализация мероприятий направленных на прочие расходы по благоустройству</t>
  </si>
  <si>
    <t>1) № 131-ФЗ "Обобщих принципах организации местного самоуправленияв РФ" ст.34, п.9 2) №33-ФЗ "Об особо охраняемым природных территориях" 3) №89-ФЗ "Об отходах производства потребления"</t>
  </si>
  <si>
    <t>1)06.10.2003
2)21.12.1994
3)26.10.1995                                                                                                                                                                                                                                                         4)06.05.2011</t>
  </si>
  <si>
    <t>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 постановление Администрации от 31.10.2016 № 5058 «О внесении изменения в Порядок формирования системы оплаты труда работников муниципальных учреждений городского округа г.Бор Нижегородской области, утвержденный постановлением администрации городского округа г.Бор от 18.05.2015 № 2306</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</si>
  <si>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"Неклюдовский ЦО и СТ"     </t>
  </si>
  <si>
    <t>1)01.01.2006
2)21.12.1994
3)26.10.1995 4)06.05.2011
5) 01.01.2017 6)01.07.2017 7)14.09.2016</t>
  </si>
  <si>
    <t>1) Федеральный закон от 06.10.2003 № 131-ФЗ "Об общих принципах организации местного самоуправления в Российской Федерации" ст. 14, п. 1, п.п. 5
2)Постановление Правительства Российской Федерации от 03.12.2002 № 858 "О федеральной целевой программе "Социальное развитие села до 2013 года" п. 4
3) Закон Нижегородской области от 04.12.2008 № 157-З "Об автомобильных дорогах и дорожной деятельности на территории Нижегородской области" ст. 9, п. 4</t>
  </si>
  <si>
    <t>1)01.01.2006,
2)01.01.2003
3)14.12.2008</t>
  </si>
  <si>
    <t xml:space="preserve">1) Федеральный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t>
  </si>
  <si>
    <t>1)01.01.2006
2)12.01.1996
3)21.06.2005</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</si>
  <si>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</si>
  <si>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</si>
  <si>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05405L5760</t>
  </si>
  <si>
    <t>Расходы за счет фонда поддержки территорий</t>
  </si>
  <si>
    <t>Управление культуры и туризма городского округа город Бор</t>
  </si>
  <si>
    <t>04-2602</t>
  </si>
  <si>
    <t>04-2622</t>
  </si>
  <si>
    <t xml:space="preserve">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18.03.2020 N 218"О  государственной поддержке на стимулирование развития приоритетных ьподотраслей агропромышленного комплекса и развитий малых форм хозяйствования"</t>
  </si>
  <si>
    <t>1)01.01.2006  2)01.01.2020</t>
  </si>
  <si>
    <t>13101R5020</t>
  </si>
  <si>
    <t>13101R5080</t>
  </si>
  <si>
    <t xml:space="preserve">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13.03.2020 N207 " О государственной поддержке сельскохозяйственного производства по отдельным подотраслям растениеводства и животноводства"</t>
  </si>
  <si>
    <t>Поддержка сельскохозяйственного производства по отдельным подотраслям растениеводства и животноводства за счет средств федерального и областного бюджетов</t>
  </si>
  <si>
    <t>13102R5080</t>
  </si>
  <si>
    <t>Совет депутатов городского округа город Бор Нижегородской области</t>
  </si>
  <si>
    <t>04-2540</t>
  </si>
  <si>
    <t>04-2507</t>
  </si>
  <si>
    <t>04-2541</t>
  </si>
  <si>
    <t>04-2538</t>
  </si>
  <si>
    <t>И.о директора департамента финансов администрации</t>
  </si>
  <si>
    <t>04-3202</t>
  </si>
  <si>
    <t>04-3201</t>
  </si>
  <si>
    <t>04-3206</t>
  </si>
  <si>
    <t>04-3205</t>
  </si>
  <si>
    <t>Департамент имущества го г.Бор</t>
  </si>
  <si>
    <t>04-2520</t>
  </si>
  <si>
    <t>04-2625</t>
  </si>
  <si>
    <t>04-3240</t>
  </si>
  <si>
    <t>04-3297</t>
  </si>
  <si>
    <t>04-3296</t>
  </si>
  <si>
    <t>обеспечение первичных мер пожарной безопасности в границах городского округа</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</si>
  <si>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</si>
  <si>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</si>
  <si>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Обеспечение первичных мер пожарной безопасности в границах городского округа</t>
  </si>
  <si>
    <t>Утверждение правил благоустройства территории городского округа, осуществление контроля за их соблюдением</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</si>
  <si>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</si>
  <si>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</si>
  <si>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</si>
  <si>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04-3403</t>
  </si>
  <si>
    <t>04-3401</t>
  </si>
  <si>
    <t>04-3222</t>
  </si>
  <si>
    <t>01
01</t>
  </si>
  <si>
    <t>Реализация мероприятий по благоустройству сельских территорий</t>
  </si>
  <si>
    <t>обеспечение безопасности гидротехнических сооружений</t>
  </si>
  <si>
    <t>2010425250</t>
  </si>
  <si>
    <t>1)06.10.2006
2)21.12.1994
3)26.10.1995                                                                                                                                                                                                                                                         4)06.05.2011</t>
  </si>
  <si>
    <t>Реализация мероприятий направленных на содержание дороги общего пользования</t>
  </si>
  <si>
    <t>1)06.10.2003,
2)01.01.2003
3)14.12.2008</t>
  </si>
  <si>
    <t>Реализация мероприятий, направленных на проведение капитального ремонта объектов благоустройства</t>
  </si>
  <si>
    <t>Реализация мероприятий направленных на содержания кладбищ</t>
  </si>
  <si>
    <t>2.2.1.14</t>
  </si>
  <si>
    <t>2.2.1.15</t>
  </si>
  <si>
    <t>2.2.1.16</t>
  </si>
  <si>
    <t>2.2.1.17</t>
  </si>
  <si>
    <t>003</t>
  </si>
  <si>
    <t>1). 06.10.2003г.  2). 03.08.2007г.   3). 16.07.2021г.</t>
  </si>
  <si>
    <t>1). 06.10.2003г. 2) 25.01.2011г.</t>
  </si>
  <si>
    <t xml:space="preserve">Федеральный закон от 06.10.2003 N 131-ФЗ  "Об общих принципах организации местного самоуправления в Российской Федерации" статья 23  </t>
  </si>
  <si>
    <t>3.1.1</t>
  </si>
  <si>
    <t xml:space="preserve">1) Закон Нижегородской области "О пожарной безопасности" 16-3 ст.6 от 26.10.1995;     2) "Об общих принципах организации местного самоуправления в Российской Федерации" Закон РФ № 131-ФЗ ст.14 п.1 п.п9 от 06.10.2003;3) Постановление администрации городского округа город Бор Нижегородской области №2306 от 18.05.2015 г "По оплате труда работников муниципальных учреждений городского округа город Бор"                                 </t>
  </si>
  <si>
    <t>1) 26.10.1995;        2) 30.12.2015.                        3).18.05.2015 г</t>
  </si>
  <si>
    <t xml:space="preserve">1) Закон Нижегородской области "О пожарной безопасности" 16-3 ст.6 от 26.10.1995;     2) "О газоснабжении в РФ " 69-ФЗ ст.19 от 31.03.1999г;                     3) "Об общих принципах организации местного самоуправления в Российской Федерации" Закон РФ № 131-ФЗ ст.14 п.1 п.п9 от 06.10.2003                                 </t>
  </si>
  <si>
    <t xml:space="preserve">1) 26.10.1995;     2) 31.09.1999;   3) 30.12.2015. </t>
  </si>
  <si>
    <t>2.2.3</t>
  </si>
  <si>
    <t>Реализация мероприятий, направленных  на содержание дорог общего пользования, тротуаров</t>
  </si>
  <si>
    <t xml:space="preserve">1) 31.05.2000;  2) 04.12.2008;  3) 06.10.2003;    </t>
  </si>
  <si>
    <t>Реализация мероприятий, направленных на уличное освещение</t>
  </si>
  <si>
    <t>Реализация мероприятий, направленных на озеленение</t>
  </si>
  <si>
    <t>Реализация мероприятий, направленных на содержание кладбищ</t>
  </si>
  <si>
    <t>Реализация мероприятий, направленных на прочие расходы по благоустройству</t>
  </si>
  <si>
    <t xml:space="preserve">1) 26.10.1995;  2) 01.01.2016;  3) 25.04.1997;  4) 31.09.1999;   5) 30.12.2015. </t>
  </si>
  <si>
    <t>МП "Патриотическое и духовно-нравственное воспитание граждан в городском округе город Бор"</t>
  </si>
  <si>
    <t>04-2531</t>
  </si>
  <si>
    <t>08</t>
  </si>
  <si>
    <t>2110100140</t>
  </si>
  <si>
    <t>2.1.4.</t>
  </si>
  <si>
    <t>04-2626</t>
  </si>
  <si>
    <t>2.4.</t>
  </si>
  <si>
    <t>2.4.1.</t>
  </si>
  <si>
    <t>4.1.2.4</t>
  </si>
  <si>
    <t>4.1.2.5</t>
  </si>
  <si>
    <t>4.1.2.6</t>
  </si>
  <si>
    <t>Общегосударственные вопросы</t>
  </si>
  <si>
    <t xml:space="preserve">1) Закон Нижегородской области "О денежном содержании лиц замещающих муниципальные должности в НО" №93-З ст.6 от 10.10.2003;                               2) Закон Нижегородской области "О муниципальной службе в НО" №99-З ст.38 абз.1 от 03.08.2007г                3) Федеральный закон "О муниципальной службе в Российской Федерации" 25-ФЗ ст.5,п.2 от 02.03.2007г.;                 4) Федеральный закон "Об общих принципах организации местного самоуправления в Российской Федерации" 131-ФЗ ст.34, п.9 от 06.10.2003;                                  56)Федеральный закон "Об охране окружающей среды"7-ФЗ ст.16, п.п.1.3 от 10.01.2002;   6)Поставление Правительства "Об утверждении порядка определения платы и ее предельных размеров за загрязнение окружающей природной среды, размещение отходов, другие виды вредного воздействия" №632 в целом от 20.08.1992      7) Решние Совета депутатов от 30.09.2010 г №39
Об утверждении Положения
о муниципальной службе 
в городском округе город Бор
                                  </t>
  </si>
  <si>
    <t>1) 10.10.2003;    2) 03.08.2007;   3) 02.03.2007;   4) 30.12.2015;      5)10.01.2002;    6)20.08.1992       7)30.09.2010</t>
  </si>
  <si>
    <t xml:space="preserve"> не установлена                   </t>
  </si>
  <si>
    <t xml:space="preserve"> не установлена      </t>
  </si>
  <si>
    <t>Муниципальная программа «Защита населения и территорий от чрезвычайных ситуаций,обеспечение пожарной безопасности людей на водных объектах городского округа г.Бор Нижегородской области»</t>
  </si>
  <si>
    <t xml:space="preserve"> не установлена</t>
  </si>
  <si>
    <t>2.2.8.</t>
  </si>
  <si>
    <t>2.2.9.</t>
  </si>
  <si>
    <t>2,2,10</t>
  </si>
  <si>
    <t>04-2522</t>
  </si>
  <si>
    <t>3.1.2</t>
  </si>
  <si>
    <t>МКУ "Большепикинский центр обеспечения и содержания территории"</t>
  </si>
  <si>
    <t xml:space="preserve"> МКУ "Большепикинский центр обеспечения и содержания территории"</t>
  </si>
  <si>
    <t>0810100250</t>
  </si>
  <si>
    <t>обеспечение мероприятий по содержанию и уборке территорий улиц, тротуаров, площадей в рамках МП«Развитие сферы  жилищно-коммунального хозяйства городского округа город Бор»</t>
  </si>
  <si>
    <t xml:space="preserve">1)01.01.2006
2)12.01.1996
3)21.06.2005
</t>
  </si>
  <si>
    <t xml:space="preserve"> в рамках МП «Организация и предоставление государственных и муниципальных услуг физическим и юридическим лицам на территории городского округа город Бор Нижегородской области»</t>
  </si>
  <si>
    <t xml:space="preserve"> МКУ "Большепикинский центр обеспечения и содержания территории" </t>
  </si>
  <si>
    <t>МКУ "Октябрьский центр обеспечения и содержания территории"</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</si>
  <si>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t>
  </si>
  <si>
    <t xml:space="preserve"> МКУ "Октябрьский центр обеспечения и содержания территории"</t>
  </si>
  <si>
    <t xml:space="preserve"> Реализация  мероприятий, направленных на содержание и уборку территории улиц, тротуаров, площадей</t>
  </si>
  <si>
    <t xml:space="preserve">1) Федеральный закон от 06.10.2003 № 131-ФЗ "Об общих принципах организации местного самоуправления в Российской Федерации" ст. 14, п. 1, п.п. 22
2) Федеральный закон от 12.01.1996 № 8-ФЗ "О погребении и похоронном деле" 
ст. 26
3) Постановление Правительства Нижегородской области от 21.06.2005 № 146 "О реализации на территории Нижегородской области Федерального закона от 12 января 1996 года № 8-ФЗ "О погребении и похоронном деле"и приведении в соответствие с даннымФедеральным законом некоторых постановлений Администрации и Правительства Нижегородской области" п.4    Постановление Администрации городского округа город Бор № 1099 от 05.03.2020  "Об утверждении перечня объектов на территории г.о.г. Бор, подлежащих благоустройству и восстановлению памятных мест, посвященных ВОВ"                                                                                                                                                                                                                                                                                                                                                                                                                     
</t>
  </si>
  <si>
    <t>обеспечение мероприятий, направленных на проведение капитального и текущего ремонта объектов благоустройства</t>
  </si>
  <si>
    <t xml:space="preserve"> Реализация мероприятий, направленных на проведение капитального и текущего ремонта объектов благоустройства</t>
  </si>
  <si>
    <t xml:space="preserve"> МКУ "Октябрьский центр обеспечения и содержания территории" </t>
  </si>
  <si>
    <t>05101S9601</t>
  </si>
  <si>
    <t>3.1.3</t>
  </si>
  <si>
    <t>3.1.4</t>
  </si>
  <si>
    <t>Расходы за счет резервного фонда</t>
  </si>
  <si>
    <t>3.1.5</t>
  </si>
  <si>
    <t>4.1.2.1</t>
  </si>
  <si>
    <t>04-2801</t>
  </si>
  <si>
    <t>0170224920</t>
  </si>
  <si>
    <t>0330129850</t>
  </si>
  <si>
    <t>4.1.2.7</t>
  </si>
  <si>
    <t>1.1</t>
  </si>
  <si>
    <t>0950100190</t>
  </si>
  <si>
    <t>Закон РФ от 09.10.1992г. № 3612-I "Основы законодательства РФ о культуре"</t>
  </si>
  <si>
    <t>09.10.1992г.</t>
  </si>
  <si>
    <t>ФЗ от 06.10.2003г. №131-ФЗ "Об общих принципах организации местного самоуправления в РФ"</t>
  </si>
  <si>
    <t>06.10.2003г.</t>
  </si>
  <si>
    <t>ФЗ от 05.04.2013г. № 44-ФЗ "О контрактной системе в сфере закупок товаров, работ, услуг для обеспечания государственных и муниципальных нужд"</t>
  </si>
  <si>
    <t>05.04.2013г.</t>
  </si>
  <si>
    <t>МКУ "Бухгалтерия учреждений культуры"</t>
  </si>
  <si>
    <t>0950100590</t>
  </si>
  <si>
    <t>Бюджетный кодекс РФ от 31.07.1998г. № 145-ФЗ</t>
  </si>
  <si>
    <t>31.07.1998г.</t>
  </si>
  <si>
    <t>ФЗ от 06.12.2011г. №402-ФЗ "О бухгалтерском учете"</t>
  </si>
  <si>
    <t>06.12.2011г.</t>
  </si>
  <si>
    <t>МКУ "ХЭС учреждений культуры"</t>
  </si>
  <si>
    <t>0950200590</t>
  </si>
  <si>
    <t>ФЗ от 12.01.1996г. № 7-ФЗ "О некоммерческих организациях"</t>
  </si>
  <si>
    <t>12.01.1996г.</t>
  </si>
  <si>
    <t>Постановление правительства НО "Об утверждении Положения об оплате труда работников государственных бюджетных и казенных учреждений культуры НО" № 464 от 15.10.2008 г.</t>
  </si>
  <si>
    <t>15.10.2008г.</t>
  </si>
  <si>
    <t>Приказ Минфина РФ от 1 декабря 2010г. № 157н "Об утверждении Единого плана счетов бухгалтерского учета для органов государственной власти (гос.органов), органов местного самоуправления, органов управления государственными внебюджетными форндами, государственных академий наук, государственных (муниципальных) учреждений и Инструкции по его применению"</t>
  </si>
  <si>
    <t>01.12.2010г.</t>
  </si>
  <si>
    <t>Социальное обеспечение и иные выплаты  населению</t>
  </si>
  <si>
    <t>2..4.</t>
  </si>
  <si>
    <t>0950325220</t>
  </si>
  <si>
    <t>Субсидии библиотекам на финансовое обеспечение государственного задания на оказание муниципальных услуг</t>
  </si>
  <si>
    <t>Услуги по комплектованию фондов библиотек книжной продукцией и периодикой.Услуги по библиотечному,информационному и справочному обслуживанию. 1.Библиотечное,библиографическое и информационное обслуживание пользователей библиотеки. 2. Библиографическая обработка документов и создание каталогов. 3. Формирование,учет,изучение,обеспечение физического сохранения и безопасности фондов библиотек.</t>
  </si>
  <si>
    <t>04-2530</t>
  </si>
  <si>
    <t>0910100590</t>
  </si>
  <si>
    <t>Федеральный закон от 03.11.2006г. № 174 - ФЗ "Об автономных учреждениях"</t>
  </si>
  <si>
    <t>03.11.2006г.</t>
  </si>
  <si>
    <t>0910242690</t>
  </si>
  <si>
    <t>0910243690</t>
  </si>
  <si>
    <t>0910325220</t>
  </si>
  <si>
    <t>Федеральный закон от 29.12.1994г. №78-ФЗ "О библиотечном деле"</t>
  </si>
  <si>
    <t>29.12.1994г.</t>
  </si>
  <si>
    <t>Субсидии музеям на финансовое обеспечение государственного задания на оказание муниципальных услуг</t>
  </si>
  <si>
    <t>Услуга по предоставлению доступа к культурному наследию,находящемуся в пользовании музея Формирование,учет,изучение,обеспечение физического сохранения и безопастности музейных предметов, музейных коллекций.</t>
  </si>
  <si>
    <t>0940100590</t>
  </si>
  <si>
    <t>0940241690</t>
  </si>
  <si>
    <t>0940325220</t>
  </si>
  <si>
    <t>Субсидии школам на финансовое обеспечение государственного задания на оказание муниципальных услуг</t>
  </si>
  <si>
    <t>Услуги по предоставлению дополнительного образования художественно-эстетической направленности населению. 1. Реализация дополнительных предпрофессиональных общеобразовательных программ в области изобразительного искусства ("Живопись"). 2 Реализация дополнительных общеразвивающих программ. 3 Организация и проведение олимпиад, конкурсов,мероприятий, направленных на выявление и развитие у обучающихся интелектуальных и творческих способностей. 4 Реализация дополнительной общеобразовательной предпрофессиональной программы в области изобразительного искусства ("Фортепиано")5.Реализация дополнительной предпрофессиональных общеобразовательных программ в области изобразительного искусства("Струнные инструменты") 6.Реализация дополнительной предпрофессиональных общеобразовательных программ в области изобразительного искусства("Народные инструменты")7 Реализация дополнительной предпрофессиональных общеобразовательных программ в области изобразительного искусства("Хоровое пение")8 Реализация дополнительной предпрофессиональных общеобразовательных программ в области изобразительного искусства("Духовые инструменты")</t>
  </si>
  <si>
    <t>Федеральный закон  от 29 декабря 2012г. "Об образовании в Российской Федерации"</t>
  </si>
  <si>
    <t>29.12.2012г.</t>
  </si>
  <si>
    <t>0920100590</t>
  </si>
  <si>
    <t>0920223690</t>
  </si>
  <si>
    <t>Федеральный закон от 18 июля 2011 г. № 223-ФЗ "О закупках товаров, работ, услуг отдельными видами юридичских лиц"</t>
  </si>
  <si>
    <t>4.2.1.7.</t>
  </si>
  <si>
    <t>Субсидии Домам культуры на финансовое обеспечение государственного задания на оказание муниципальных услуг</t>
  </si>
  <si>
    <t xml:space="preserve">Услуги по проведению культурно-массовых мероприятий и организации досуга населения.                 1.Организация мероприятий
2.Организация деятельности клубных формирований и формирований самодеятельного народного творчества </t>
  </si>
  <si>
    <t>0930100590</t>
  </si>
  <si>
    <t>0930425220</t>
  </si>
  <si>
    <t>0930240690</t>
  </si>
  <si>
    <t>Постановление правительства НО "Об утверждении Положения об оплате труда работников государственных бюджетных, автономных и казенных учреждений культуры НО" № 464 от 15.10.2008 г.</t>
  </si>
  <si>
    <t>Субсидии библиотекам на иные цели</t>
  </si>
  <si>
    <t>Расходы на реализацию мероприятий антинаркотической направленности</t>
  </si>
  <si>
    <t>2210129600</t>
  </si>
  <si>
    <t>Сохранение и развитие материально-технической базы муниципальных библиотек</t>
  </si>
  <si>
    <t>Расходы на поддержку отрасли культуры</t>
  </si>
  <si>
    <t>09102L5190</t>
  </si>
  <si>
    <t>Расходы за счет средств из фонда поддержки территорий Правительства Нижегородской области</t>
  </si>
  <si>
    <t>Расходы на реализацию мероприятий, направленных на духовно-нравственное воспитание в городском округе г.Бор</t>
  </si>
  <si>
    <t>Мероприятия в области социальной политики</t>
  </si>
  <si>
    <t>04-2902</t>
  </si>
  <si>
    <t>0320125280</t>
  </si>
  <si>
    <t>4.2.2.2.</t>
  </si>
  <si>
    <t>Субсидии музеям на иные цели</t>
  </si>
  <si>
    <t xml:space="preserve">Услуга по предоставлению доступа к культурному наследию,находящемуся в пользовании музея Формирование,учет,изучение,обеспечение физического сохранения и безопастности музейных </t>
  </si>
  <si>
    <t>Сохранение и развитие материально-технической базы муниципальных музеев</t>
  </si>
  <si>
    <t>Мероприятия в сфере культуры и искусства</t>
  </si>
  <si>
    <t>4.2.2.3.</t>
  </si>
  <si>
    <t>Субсидии Домам культуры на иные цели</t>
  </si>
  <si>
    <t>Услуги по проведению культурно-массовых мероприятий и организации досуга населения.                 1.Организация мероприятий</t>
  </si>
  <si>
    <t>Сохранение и развитие материально-технической базы муниципальных учреждений культуры</t>
  </si>
  <si>
    <t>Расходы на обеспечение развития и укрепления материально-технической базы домов культуры в населенных пунктах с числом жителей до 50 тысяч человек</t>
  </si>
  <si>
    <t>09302L5760</t>
  </si>
  <si>
    <t>Расходы на поддержку отрасли культуры (мероприятия, направленные на государственную поддержку лучших работников сельских учреждений культуры и лучших сельских учреждений культуры)</t>
  </si>
  <si>
    <t>093А255190</t>
  </si>
  <si>
    <t>Расходы на реализацию мероприяятий, направленных на духовно-нравственное воспитание в городском округе г.Бор</t>
  </si>
  <si>
    <t>Расходы на реализацию мероприятий, направленных на формирование доступной для инвалидов среды жизнедеятельности</t>
  </si>
  <si>
    <t>Расходы на реализацию мероприятий по обеспечению потребности лечебных учреждений в донорской крови и ее компонентах и стабилизации ситуации по социально значимым заболеваниям</t>
  </si>
  <si>
    <t>0340125260</t>
  </si>
  <si>
    <t>Мероприятия по улучшению условий труда</t>
  </si>
  <si>
    <t>1110100060</t>
  </si>
  <si>
    <t>4.2.2.18.</t>
  </si>
  <si>
    <t>Субсидии школам на иные цели</t>
  </si>
  <si>
    <t>Сохранение и развитие материально-технической базы учреждений дополнительного образования</t>
  </si>
  <si>
    <t>04-2527</t>
  </si>
  <si>
    <t>Расходы на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</si>
  <si>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092А155190</t>
  </si>
  <si>
    <t>Управление физической культуры и спорта администрации городского округа г. Бор</t>
  </si>
  <si>
    <t>1240100190</t>
  </si>
  <si>
    <t xml:space="preserve">1) Федеральный закон от 06.10.2003  № 131-ФЗ "Об общих принципах организации местного самоуправления в Российской Федерации", ст.34, п.9                                                                                                                                                2) Закон Нижегородской области  от 03.08.2007  № 99-З "О муниципальной службе в Нижегородской области", ст.38                                                                              3) Решение Совета депутатов  городского округа город Бор  Нижегородской области от 30.10.2010  №39  "Об утверждении Положения о муниципальной службе  в городском округе город Бор", полностью                  </t>
  </si>
  <si>
    <t>1)01.01.2006      2)25.08.2007      3)30.10.2010</t>
  </si>
  <si>
    <t>1) не ограничен           2) не ограничен               3) не ограничен</t>
  </si>
  <si>
    <t xml:space="preserve">1) Федеральный закон  от 06.10.2003  № 131-ФЗ  "Об общих принципах организации местного самоуправления в Российской Федерации", ст.34, п.9 </t>
  </si>
  <si>
    <t>1) 01.01.2006</t>
  </si>
  <si>
    <t>1) не ограничен</t>
  </si>
  <si>
    <t>04-2535</t>
  </si>
  <si>
    <t>1210325270</t>
  </si>
  <si>
    <t>800</t>
  </si>
  <si>
    <t>Субсидии учреждениям физической культуры и спорта на финансовое обеспечение государственного задания на оказание муниципальных услуг</t>
  </si>
  <si>
    <t>Организация и проведение официальных спортивных мероприятий; организация и проведение официальных физкультурных (физкультурно- оздоровительных) мероприятий, Содержание, обеспечение участия в официальных сортивных соревнованиях спортивных сборных команд, Обеспечение доступа к объектам спорта льготных категорий граждан</t>
  </si>
  <si>
    <t xml:space="preserve">1) Федеральный закон РФ  от 29.12.2012  № 273  "Об образовании в Российской Федерации", гл.10, ст.75                
2) Федеральный закон  от 06.10.2003  № 131-ФЗ  "Об общих принципах организации местного самоуправления в Российской Федерации", ст.16, п.1,пп.19           
</t>
  </si>
  <si>
    <t xml:space="preserve">1) 01.09.2013   2) 01.01.2006   </t>
  </si>
  <si>
    <t xml:space="preserve">1) не ограничен           2) не ограничен       </t>
  </si>
  <si>
    <t>Спортивная подготовка по олимпийским видам спорта, Оказание физкультурно-оздоровительных услуг различными группами населения</t>
  </si>
  <si>
    <t>04-2534</t>
  </si>
  <si>
    <t>Субсидии учреждениям физической культуры и спорта на иные цели</t>
  </si>
  <si>
    <t>04-2526</t>
  </si>
  <si>
    <t>0130324910</t>
  </si>
  <si>
    <t>0130323910</t>
  </si>
  <si>
    <t>12102S2280</t>
  </si>
  <si>
    <t xml:space="preserve">1) Федеральный закон  от 06.10.2003  № 131-ФЗ  "Об общих принципах организации местного самоуправления в Российской Федерации", ст.16, п.1,пп.19                                  2) Федеральный закон  от 03.11.2006  № 174-ФЗ  "Об автономных учреждениях", ст.4    </t>
  </si>
  <si>
    <t>1)01.01.2006              2)06.01.2007</t>
  </si>
  <si>
    <t>1) не ограничен              2) не ограничен</t>
  </si>
  <si>
    <t>04-2555</t>
  </si>
  <si>
    <t xml:space="preserve">1) Федеральный закон  от 03.11.2006  № 174-ФЗ  "Об автономных учреждениях", ст.4    </t>
  </si>
  <si>
    <t>0170124910</t>
  </si>
  <si>
    <t>1210200590</t>
  </si>
  <si>
    <t>0150100190</t>
  </si>
  <si>
    <t xml:space="preserve">1)статья 50 Федерального Закона от 27.07.2004 № 79-ФЗ "О государственной гражданской службе Российской Федерации"       2)Закон Нижегородской области от 03.08.2007  №  99-З " О муниципальной службе в  Нижегородской области"                               3) часть 1 статьи 26 Положения "О муниипальной  службе в городском округе г.Бор"                                          </t>
  </si>
  <si>
    <t xml:space="preserve">                                                                                                                                                                                                                                                                                                                                                                                            30.09.2010 №39</t>
  </si>
  <si>
    <t>ИМЦ</t>
  </si>
  <si>
    <t>0150100590</t>
  </si>
  <si>
    <t>1)Постановление администрации городского округа г.Бор "Об уплате труда работников муниципальных учреждений городского округа г.Бор"</t>
  </si>
  <si>
    <t>18.05.2015 № 2306</t>
  </si>
  <si>
    <t>МКУ "Бухгалтерия образования"</t>
  </si>
  <si>
    <t>4-2527</t>
  </si>
  <si>
    <t>1) Федеральный закон от 05.04.2013 № 44-ФЗ "О контрактной системе в сфере закупок товаров, работ, услуг для обеспечения государственных и муниципальных нужд"</t>
  </si>
  <si>
    <t>Расходы за счет средств местного бюджета на  осуществление выплат на возмещение части расходов по приобретению путевок в загородные детские оздоровительно-образовательные лагеря,  Нижегородской областив в рамках подпрограммы "Развитие дополнительного образования"</t>
  </si>
  <si>
    <t>Мероприятия в области образования</t>
  </si>
  <si>
    <t>0130424010</t>
  </si>
  <si>
    <t>0140124010</t>
  </si>
  <si>
    <t>Мероприятия в области образования по муниципальной программе "Развития образования в городском округе город Бор "</t>
  </si>
  <si>
    <t>0140224010</t>
  </si>
  <si>
    <t>Расходы на реализацию мероприятий по обеспечению потребности лечебных учреждений в донорской крови и ее компонентах и стабилизация ситуации по социально  значимым заболеваниям</t>
  </si>
  <si>
    <t>3.1.6</t>
  </si>
  <si>
    <t>Расходы на обеспечение деятельности муниципальных дошкольных образовательных учреждений</t>
  </si>
  <si>
    <t>Присмотр и уход</t>
  </si>
  <si>
    <t>0110100590</t>
  </si>
  <si>
    <t xml:space="preserve">1)пункт 1,5 части 1, статьи 9 Федерального Закона от 29.12.2012 № 273-ФЗ "Об образовании в Российской Федерации"                                                 2) Федеральный закон от 06.10.2003 № 131-ФЗ "Об общих принципах организации местного самоуправления в Российской Федерации"                                   </t>
  </si>
  <si>
    <t xml:space="preserve">1) пункт1,5 части 1, статьи 9 ФЗ Федерального Закона от 29.12.2012 № 273-ФЗ "Об образовании в Российской Федерации"                                2)Федеральный закон от 06.10.2003 № 131-ФЗ "Об общих принципах организации местного самоуправления в Российской Федерации"  </t>
  </si>
  <si>
    <t>0130100590</t>
  </si>
  <si>
    <t>Обеспечение функционирования модели персонифицированного финансирования дополнительного образования детей</t>
  </si>
  <si>
    <t>0130100591</t>
  </si>
  <si>
    <t>25.03.2009 № 149</t>
  </si>
  <si>
    <t>Реализация проекта по обеспечению несовершеннолетних временной трудовой занятостью</t>
  </si>
  <si>
    <t>Расходы на исполнение полномочий по финансовому обеспечению двухразовым бесплатным питанием обучающихся с ограниченными возможностями здоровья, не проживающих в муниципальных организациях, осуществляющих образовательную деятельность по адаптированным основным общеобразовательным программам за счет средств местного бюджета</t>
  </si>
  <si>
    <t>0120223180</t>
  </si>
  <si>
    <t>Расходы на финансовое обеспечение деятельности центров образования цифрового и гуманитарного профилей "Точка роста"</t>
  </si>
  <si>
    <t>012E174590</t>
  </si>
  <si>
    <t>Расходы на капитальный ремонт образовательных организаций, реализующих общеобразовательные программы Нижегородской области</t>
  </si>
  <si>
    <t xml:space="preserve">1) Соглашения о порядке и условиях предоставления субсидий из бюджета городского округа город Бор муниципальному учреждению городского округа город Бор на иные цели </t>
  </si>
  <si>
    <t>16.10.2014 №7124</t>
  </si>
  <si>
    <t>4.2.1.1</t>
  </si>
  <si>
    <t xml:space="preserve">1)пункт 1,5 части 1, статьи 9 Федерального Закона от 29.12.2012 № 273-ФЗ "Об образовании в Российской Федерации"                                                 2) Федеральный закон от 06.10.2003 № 131-ФЗ "Об общих принципах организации местного самоуправления в Российской Федерации" </t>
  </si>
  <si>
    <t>4.2.1.2</t>
  </si>
  <si>
    <t>4.2.1.3</t>
  </si>
  <si>
    <t>Расходы на обеспечение деятельности муниципальных школ начальных, неполных средних и средних</t>
  </si>
  <si>
    <t>04-2523</t>
  </si>
  <si>
    <t>0120100590</t>
  </si>
  <si>
    <t>4.2.1.4</t>
  </si>
  <si>
    <t>04-2525</t>
  </si>
  <si>
    <t>4.2.1.5</t>
  </si>
  <si>
    <t>4.2.1.6</t>
  </si>
  <si>
    <t>Расходы на создание новых мест дополнительного образования детей "ЦДО "Школа полного дня"</t>
  </si>
  <si>
    <t>0130100592</t>
  </si>
  <si>
    <t>Приказ МО Нижегородской области № 316-01-63/169-20 с изменениями от 29.01.2020</t>
  </si>
  <si>
    <t>4.2.1.7</t>
  </si>
  <si>
    <t xml:space="preserve">Организация отдыха и оздоровления детей </t>
  </si>
  <si>
    <t>0130300590</t>
  </si>
  <si>
    <t xml:space="preserve">Приобретение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t>
  </si>
  <si>
    <t>Реализация основных общеобразовательных программ начального общего, основного общего, основного среднего образования</t>
  </si>
  <si>
    <t xml:space="preserve">2) Постановление Правительства Нижегородской области  "Об организации отдыха, оздоровления и занятости детей и молодежи Нижегородской области" </t>
  </si>
  <si>
    <t>4.2.2.2</t>
  </si>
  <si>
    <t>4.2.2.3</t>
  </si>
  <si>
    <t>4.2.2.4</t>
  </si>
  <si>
    <t>Расходы  на реализацию проектов комплексного развития сельских территорий (сельских агломераций) за счет средств областного бюджета</t>
  </si>
  <si>
    <t>01201L5760</t>
  </si>
  <si>
    <t>4.2.2.6</t>
  </si>
  <si>
    <t>4.2.2.7</t>
  </si>
  <si>
    <t>4.2.2.9</t>
  </si>
  <si>
    <t>4.2.2.10</t>
  </si>
  <si>
    <t>4.2.2.11</t>
  </si>
  <si>
    <t>4.2.2.12</t>
  </si>
  <si>
    <t>Расходы на организацию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</si>
  <si>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4.2.2.13</t>
  </si>
  <si>
    <t>4.2.2.14</t>
  </si>
  <si>
    <t>4.2.2.15</t>
  </si>
  <si>
    <t>4.2.2.16</t>
  </si>
  <si>
    <t>04-2524</t>
  </si>
  <si>
    <t>4.2.2.17</t>
  </si>
  <si>
    <t>4.2.2.18</t>
  </si>
  <si>
    <t>4.2.2.19</t>
  </si>
  <si>
    <t>4.2.2.20</t>
  </si>
  <si>
    <t>4.2.2.22</t>
  </si>
  <si>
    <t>4.2.2.23</t>
  </si>
  <si>
    <t>4.2.2.24</t>
  </si>
  <si>
    <t>Расходы на обеспечение деятельности муниципальных учреждений дополнительного образования</t>
  </si>
  <si>
    <t>4.2.2.26</t>
  </si>
  <si>
    <t>Мероприятия отдыха и оздоровления детей в рамках подпрограммы "Развитие дополнительного образования"</t>
  </si>
  <si>
    <t>4.2.2.27</t>
  </si>
  <si>
    <t>Мероприятия по вовлечению молодежи в социально-значимую деятельность городского округа город Бор</t>
  </si>
  <si>
    <t>4.2.2.28</t>
  </si>
  <si>
    <t>4.2.2.29</t>
  </si>
  <si>
    <t xml:space="preserve">Расходы на реализацию мероприятий антинаркотической направленности в рамках подпрограммы "Комплексные меры противодействия злоупотреблению наркотиками и их </t>
  </si>
  <si>
    <t>4.2.2.30</t>
  </si>
  <si>
    <t>4.2.2.31</t>
  </si>
  <si>
    <t>Мероприятия по безопасности дорожного движения</t>
  </si>
  <si>
    <t>Реализация мероприятий, направленных на противодействие коррупции.</t>
  </si>
  <si>
    <t>04-2560</t>
  </si>
  <si>
    <t>1910100600</t>
  </si>
  <si>
    <t>4.2.2.34</t>
  </si>
  <si>
    <t xml:space="preserve">1) Постановление администрации городского округа г.Бор «Об утверждении порядка разработки, утверждения, реализации и оценки эффективности муниципальных программ городского округа город Бор и методических рекомендаций по разработке и реализации муниципальных программ городского округа г.Бор» </t>
  </si>
  <si>
    <t>4.2.2.35</t>
  </si>
  <si>
    <t>4.2.2.36</t>
  </si>
  <si>
    <t>4.2.2.37</t>
  </si>
  <si>
    <t>4.2.2.38</t>
  </si>
  <si>
    <t>4.2.2.39</t>
  </si>
  <si>
    <t xml:space="preserve">1)статья 5, 28 Федарального закона " Об образовании  в Российской Федерации" № 273- ФЗ от 29.12.2012                                                                 </t>
  </si>
  <si>
    <t>Приобретение путевок, возмещение части расходов по приобретению путевок в загородные детские оздоровительно-образовательные центы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 (пришкольные лагеря) и проведение культурно-массовых мероприятий в пришкольных лагерях</t>
  </si>
  <si>
    <t xml:space="preserve">1)статья 5, 28 Федарального закона " Об образовании  в Российской Федерации" № 273- ФЗ от 29.12.2012                                           2) Постановление Правительства Нижегородской области  "Об организации отдыха, оздоровления и занятости детей и молодежи Нижегородской области"    </t>
  </si>
  <si>
    <t>.0130100591</t>
  </si>
  <si>
    <t xml:space="preserve">Субвенция на исполнение полномочий в сфере общего образования </t>
  </si>
  <si>
    <t>.07</t>
  </si>
  <si>
    <t>.01</t>
  </si>
  <si>
    <t>.0110273070</t>
  </si>
  <si>
    <t>Закон Нижегородской области от 28 ноября 2013 года  № 160-З "О предоставлении органам местного самоуправления муниципальных районов и городских округов Нижегородской области субвенций на исполнение полномочий в сфере общего образования".</t>
  </si>
  <si>
    <t>4.2.2.1</t>
  </si>
  <si>
    <t xml:space="preserve">    Обеспечение двухразовым бесплатным  питанием обучающихся с ограниченными возможностями здоровья,не проживающих в муниципальных организациях,осущесталяющих образовательную деятельность по адаптированным общеобразовательным программам</t>
  </si>
  <si>
    <t xml:space="preserve">Расходы на исполнение полномочий по финансовому обеспечению выплат ежемесячного денежного вознаграждения за классное руководство педагогическим работникам </t>
  </si>
  <si>
    <t>.622</t>
  </si>
  <si>
    <t>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t>
  </si>
  <si>
    <t>Расходы на исполнение полномочий по финансовому обеспечению выплаты компенсации педагогическим и иным работникам муниципальных образовательных организаций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 за счет средств субвенции областного бюджета</t>
  </si>
  <si>
    <t>1.1.2</t>
  </si>
  <si>
    <t>1320173910</t>
  </si>
  <si>
    <t>Возмещение производителям  зерновых культур части затрат на производство и реализацию зерновых культур за счет средств федерального и областного бюджетов</t>
  </si>
  <si>
    <t>13101R3680</t>
  </si>
  <si>
    <t>13101R3580</t>
  </si>
  <si>
    <t>04-2552</t>
  </si>
  <si>
    <t>1310600130</t>
  </si>
  <si>
    <t>1310100130</t>
  </si>
  <si>
    <t>Выплаты персоналу органа местного самоуправления, в т.ч.:</t>
  </si>
  <si>
    <t>Решение вопросов местного значения, осуществление отдельных государственных полномочий, переданных органам местного самоуправления федеральными законами и законами Нижегородской области.</t>
  </si>
  <si>
    <t>01   01</t>
  </si>
  <si>
    <t>04  02</t>
  </si>
  <si>
    <t xml:space="preserve">1) Федеральный закон от 06.10.2003 № 131-ФЗ "Об общих принципах организации местного самоуправления в РФ" ст. 34 п. 9;                                                                                                                                     </t>
  </si>
  <si>
    <t>Глава муниципального образования</t>
  </si>
  <si>
    <t>2)Федеральный закон от 02.03.2007 № 25-ФЗ "О муниципальной службе в РФ" ст. 22 п. 2</t>
  </si>
  <si>
    <t>2) 02.03.2007</t>
  </si>
  <si>
    <t xml:space="preserve">3) Закон Нижегородской области от 03.08.2007 № 99-З "О муниципальной службе в Нижегородской области" ст. 38 абз. 1                        </t>
  </si>
  <si>
    <t xml:space="preserve">3) 03.08.2007 </t>
  </si>
  <si>
    <t>МКУ по АХО</t>
  </si>
  <si>
    <t>Качественное выполнение работ по материально- технич. обеспечению деятельности администрации</t>
  </si>
  <si>
    <t xml:space="preserve">01      01      </t>
  </si>
  <si>
    <t xml:space="preserve">13    13    </t>
  </si>
  <si>
    <t xml:space="preserve">1) Федеральный закон от 06.10.2003 № 131-ФЗ "Об общих принципах организации местного самоуправления в РФ" ст. 17 п. 1 п.п.3; ст. 14 п. 1 п.п. 9, ст. 15 п. 1 п.п. 7                                                                                                                                     </t>
  </si>
  <si>
    <t>МКУ "Управление по делам ГО и ЧС"</t>
  </si>
  <si>
    <t>Решение задач в области гражданской обороны, защиты населения и территории муниципального образования от чрезвычайных ситуаций</t>
  </si>
  <si>
    <t xml:space="preserve">03            03       </t>
  </si>
  <si>
    <t xml:space="preserve">09          09     </t>
  </si>
  <si>
    <t>2) Федеральный закон от 25.09.1997 № 126-ФЗ "О финансовых основах местного самоуправления в Российской Федерации" ст. 5 п. 2</t>
  </si>
  <si>
    <t>2) 25.09.1997</t>
  </si>
  <si>
    <t>МКУ Борстройзаказчик</t>
  </si>
  <si>
    <t xml:space="preserve">Выполнение функций Заказчика и, осуществ-ление контроля, технического надзора на объектах стр-ва, реконструкции, кап. и текущего ремонтов на территории муниципального образования городского округа г.Бор </t>
  </si>
  <si>
    <t>0220100590</t>
  </si>
  <si>
    <t>3) Федеральный закон от 21.12.1994 № 68-ФЗ "О защите населения и территорий от чрезвычайных ситуаций природного и техногенного характера" ст. 11 п. 2 п.п. "г"</t>
  </si>
  <si>
    <t>3) 21.12.1994</t>
  </si>
  <si>
    <t>Администрация городского округа город Бор Нижегородской области (содержание контрольно - ревизионной инспекции)</t>
  </si>
  <si>
    <t>МКУ по АХО, в т. ч.:</t>
  </si>
  <si>
    <t>4) ФЗ от 22.07.2008 №123-ФЗ "Технический регламент о требованиях пожарной безопасности", регламент</t>
  </si>
  <si>
    <t>4) 22.07.2008</t>
  </si>
  <si>
    <t>расходы на обеспечение деятельности МУ</t>
  </si>
  <si>
    <t>5) Федеральный закон от 21.12.1994 № 69-ФЗ "О пожарной безопасности" ст. 19</t>
  </si>
  <si>
    <t>5) 21.12.1994</t>
  </si>
  <si>
    <t>МКУ "Управление по делам ГО и ЧС", в т.ч.:</t>
  </si>
  <si>
    <t>6) Закон Нижегородской области от 04.01.1996 № 17-З "О защите населения и территорий Нижегородской области от чрезвычайных ситуаций природного и техногенного характера" ст. 24</t>
  </si>
  <si>
    <t>6) 04.01.1996</t>
  </si>
  <si>
    <t xml:space="preserve">мероприятия, направленные на защиту населения и территорий от чрезвычайных ситуаций </t>
  </si>
  <si>
    <t>2010225110</t>
  </si>
  <si>
    <t>7) Расп.ПНО  от 14.07.2015 № 1293-р "Об организации  и выполнении мероприятий по построению, внедрению и развитию на территориии НО аппаратно- программного комплекса "Безопасный город" 8) Пост. ПНО от 09.11.2016 № 759 "О единых дежурно- диспетчерских службах муниципальных образований НО"</t>
  </si>
  <si>
    <t>7) 14.07.2015                      8) 09.11.2016</t>
  </si>
  <si>
    <t>целевой финансовый резерв для предупреждения и ликвидации последствий ЧС и стихийных бедствий природного и техногенного характера</t>
  </si>
  <si>
    <t>2010125040</t>
  </si>
  <si>
    <t>расходы на обеспечение функций подведомственных учреждений</t>
  </si>
  <si>
    <t>2030100590</t>
  </si>
  <si>
    <t>противопожарные мероприятия</t>
  </si>
  <si>
    <t xml:space="preserve">мероприятия, направленные на создание и развитие системы обеспечения вызова экстренных оперативных служб по единому номеру "112" в городском округе г. Бор </t>
  </si>
  <si>
    <t xml:space="preserve">  03</t>
  </si>
  <si>
    <t xml:space="preserve">  09</t>
  </si>
  <si>
    <t xml:space="preserve"> 2010325230</t>
  </si>
  <si>
    <t>9) Закон Нижегородской области от 26.10.1995 № 16-З "О пожарной безопасности" ст. 6</t>
  </si>
  <si>
    <t>9) 26.10.1995</t>
  </si>
  <si>
    <t>Расходы на обеспечение деятельности единых дежурно - диспетчерских служб городского округа г. Бор</t>
  </si>
  <si>
    <t>2030200590</t>
  </si>
  <si>
    <t xml:space="preserve">10) Пост. Администрации город.округа г.Бор НО от 12.05.2016 № 2174 "О создании целевого финансового резерва для предупреждения и ликвидации последствий ЧС и стихийных бедствий природного и техногенного характера город. округа г.Бор и утверждении Порядка его использовани"  порядок;                                      </t>
  </si>
  <si>
    <t>10) 12.05.2016                     11) 04.08.2014</t>
  </si>
  <si>
    <t>мероприятия, направленные на обслуживание и содержание муниципального сегмента  региональной автоматизированной системы централизованного оповещения населения (МАСЦО)</t>
  </si>
  <si>
    <t>2010325210</t>
  </si>
  <si>
    <t>создание и оснащение спасательных постов в местах массового отдыха людей</t>
  </si>
  <si>
    <t>2010425240</t>
  </si>
  <si>
    <t>МКУ Борстройзаказчик, в т.ч.:</t>
  </si>
  <si>
    <t>Содержание, ремонт, ТО объектов кап. стр-ва, введенных в эксплуатацию до момента передачи в мун. казну</t>
  </si>
  <si>
    <t xml:space="preserve">   05</t>
  </si>
  <si>
    <t xml:space="preserve">   02</t>
  </si>
  <si>
    <t>0210110010</t>
  </si>
  <si>
    <t>12) Пост. ПНО от 30.12.2016 № 6418 " О единой дежурно- диспетчерской службе город. округа г. Бор НО", в целом</t>
  </si>
  <si>
    <t>12) 30.12.2016</t>
  </si>
  <si>
    <t>2420100590</t>
  </si>
  <si>
    <t>14) Пост. Адм. Борского района НО от 17.12.2010 № 115 "О создании МУ АХО органов местного самоуправления", "Устав МУ АХО" в целом;</t>
  </si>
  <si>
    <t>14) 17.12.2010</t>
  </si>
  <si>
    <t>15) Пост. Адм. город.округа г.Бор НО от 21.12.2011 № 7037 "Устав МКУ Управление по делам ГО и ЧС город. округа г. Бор НО" в целом;</t>
  </si>
  <si>
    <t>15) 21.12.2011</t>
  </si>
  <si>
    <t>16) Пост. Адм. город. округа г.Бор НО от 22.12.2011 № 7090 "Устав МКУ город. округа г. Бор НО "Борстройзаказчик" в целом</t>
  </si>
  <si>
    <t>16) 22.12.2011</t>
  </si>
  <si>
    <t xml:space="preserve">01    </t>
  </si>
  <si>
    <t xml:space="preserve">13   </t>
  </si>
  <si>
    <t>1) Федеральный закон от 06.10.2003 № 131-ФЗ "Об общих принципах организации местного самоуправления в Российской Федерации" ст. 17 п. 1 п.п.3;</t>
  </si>
  <si>
    <t>Мероприятия в рамках п/пр. "Совершенствование муниципального управления", в т. ч.:</t>
  </si>
  <si>
    <t>Подготовка и повышение квалификации кадров (обучение семинары)</t>
  </si>
  <si>
    <t>2410125070</t>
  </si>
  <si>
    <t>2) Федеральный закон от 02.03.2007 № 25-ФЗ "О муниципальной службе в РФ" ст. 35;</t>
  </si>
  <si>
    <t>2410225100</t>
  </si>
  <si>
    <t xml:space="preserve">01   </t>
  </si>
  <si>
    <t xml:space="preserve">13  </t>
  </si>
  <si>
    <t>3)Федеральный закон от 25.09.1997 № 126-ФЗ "О финансовых основах местного самоуправления в Российской Федерации" ст. 5 п. 2;</t>
  </si>
  <si>
    <t>3) 25.09.1997</t>
  </si>
  <si>
    <t>3.1.5.</t>
  </si>
  <si>
    <t>3.1.6.</t>
  </si>
  <si>
    <t>3.1.7.</t>
  </si>
  <si>
    <t xml:space="preserve">1) Федеральный закон от 06.10.2003 № 131-ФЗ "Об общих принципах организации местного самоуправления в РФ" ст. 14 п. 1 п.п. 30, ст. 15 п. 1 п.п. 27;                                                                                   2) Закон Нижегородской области от 25.04.1997 № 70-З "О молодежной политике в Нижегородской области" ст. 8 п. 2 </t>
  </si>
  <si>
    <t>1) 01.01.2006                       2) 25.04.1997</t>
  </si>
  <si>
    <t>3.1.8.</t>
  </si>
  <si>
    <t>1) 01.01.2006                     2) 09.10.1992                    3) 31.12.1996</t>
  </si>
  <si>
    <t>3.1.9.</t>
  </si>
  <si>
    <t>1) Федеральный закон от 06.10.2003 № 131-ФЗ "Об общих принципах организации местного самоуправления в РФ" ст. 16.1;                                          2) Закон НО от 03.02.2010 № 9-З "Об охране труда в НО" гл. 2 ст. 8;                                                   3) ФЗ №149-ФЗ от 27.07.2006 "Об информатизации, информационных технологиях и о защите информации" ст.11;    4) ФЗ № 63-ФЗ от 25.03.2011 "Об электронной подписи" ст. 4, 5, 6, 9</t>
  </si>
  <si>
    <t>1) 01.01.2006                           2) 03.02.2010                      3) 27.07.2006                      4) 25.03.2011</t>
  </si>
  <si>
    <t>3.1.11.</t>
  </si>
  <si>
    <t>3.1.12.</t>
  </si>
  <si>
    <t>0310100120</t>
  </si>
  <si>
    <t>Субсидии МБУ "Борское охотничье-рыболовное хозяйство" на финансовое обеспечение муниципального задания на оказание муниципальных услуг (выполнение работ)</t>
  </si>
  <si>
    <t>Сбор, обработка и хранение информации об объектах живот. мира и среды их обитания, включая редких и находящихся под угрозой исчезновения объектов живот. мира, охотничьих ресурсов; создание эксперимент. и мотодологической основы сохранения объектов животного мира, включая редких и находящихся под угрозой исчезновения, охотничьих ресурсов в естественной среде обитания с целью поддержания их видового разнообразия и сохранения их численности в пределах, необходимых для расширенного воспроизводства на территории охотничьего хозяйства</t>
  </si>
  <si>
    <t>0710100590</t>
  </si>
  <si>
    <t xml:space="preserve">1) Федеральный закон от 14.03.1995 № 33-ФЗ Об особо охраняемых природных территориях" р. 9 ст. 33;                                     2) Федеральный закон от 24.04.1995 № 52-ФЗ О животном мире" гл. 1 ст. 8;                                 3)  Закон Нижегородской области от 30.03.2010 № 42-З "Об охоте и о сохранении охотничьих ресурсов в Нижегородской области" в целом;                                           4)   Пост. Администрации город. округа г. Бор НО от  13.02.2012 № 728 "Устав МБУ "Борское охотничье - рыболовное хозяйство" в целом;                                                               5) Пост. Администрации город. округа г. Бор НО от 31.12.2015 № 6855 "Об утв. ведомств. перечня мун. услуг и работ, оказываемых и выполняемых МУ, находящимися в ведении адм. город. округа г.Бор НО" перечень п. 3            </t>
  </si>
  <si>
    <t>1) 14.03.1995                            2)  24.04.1995                 3)  30.03.2010                  4) 13.02.2012              5) 01.01.2016</t>
  </si>
  <si>
    <t>4.1.1.3.</t>
  </si>
  <si>
    <t>Сбор, обработка и хранение информации об объектах живот. мира и среды их обитания, включая редких и находящихся под угрозой исчезновения объектов живот. мира, охотничьих ресурсов; создание эксперимент. и мотодологической основы сохранения объектов животного мира, включая редких и находящихся под угрозой исчезновения, охотничьих ресурсов в естественной среде обитания с целью поддержания их видового разнообразия и сохранения их числен-ности в пределах, необ-ходимых для расширен-ного воспроизводства на территории охотничьего хозяйства</t>
  </si>
  <si>
    <t>13  13</t>
  </si>
  <si>
    <t>1) Постановление Администрации городского округа г. Бор НО от 08.06.2015 № 2719 "Об утверждении порядка определения объема и условий предоставления из бюджета городского округа г. Бор субсидий на иные цели муниципальным бюджетным и автономным учреждениям городского округа г. Бор", порядок;             2) Постановление Администрации городского округа г. Бор НО от 30.12.2014 № 9714 "О порядке использования бюджетных ассигнований резервного фонда администрации городского округа г.Бор" п. 3.10.</t>
  </si>
  <si>
    <t>1) 08.06.2015                  2) 01.01.2015</t>
  </si>
  <si>
    <t>Субсидии МАУ "Борский бизнес - инкубатор" на финансовое обеспечение муниципального задания на оказание муниципальных услуг (выполнение работ)</t>
  </si>
  <si>
    <t>Предоставление информационной и консультационной поддержки субъектам малого и среднего предприниматель-ства</t>
  </si>
  <si>
    <t xml:space="preserve">1510100590 </t>
  </si>
  <si>
    <t xml:space="preserve">1) Федеральный закон от 06.10.2003 № 131-ФЗ «Об общих принципах организации местного самоуправления в РФ» ст. 14 п.п. 28, ст. 15 п.п. 25;         2) Федеральный закон от 24.07.2007 № 209-ФЗ "О развитии малого и среднего предпринимательства в РФ" ст. 10 п. 1 п.п.2;                                       3) Закон Нижегородской области от 05.12.2008 № 171-З "О развитии малого и среднего предпринимательства в Нижегородской области" ст. 4;  4) Пост. Администрации город. округа г. Бор НО от 06.03.2013 № 1241 "О создании МАУ город. округа г. Бор НО "Борский бизнес - инкубатор" и Устав МАУ, в целом;                                  5) Пост. Администрации город. округа г. Бор НО от 31.12.2015 № 6855 "Об утв. ведомств. перечня мун. услуг и работ, оказываемых и выполняемых МУ, находящимися в ведении адм. город. округа г.Бор НО" перечень п. 2                                              </t>
  </si>
  <si>
    <t>1) 01.01.2006                       2) 01.01.2008                        3) 05.12.2008                       4) 06.03.2013                      5) 01.01.2016</t>
  </si>
  <si>
    <t xml:space="preserve">Субсидии МАУ "Борский бизнес - инкубатор" на иные цели </t>
  </si>
  <si>
    <t xml:space="preserve">1) Федеральный закон от 06.10.2003 № 131-ФЗ «Об общих принципах организации местного самоуправления в РФ» ст. 14 п.п. 28, ст. 15 п.п. 25;         2) Федеральный закон от 24.07.2007 № 209-ФЗ "О развитии малого и среднего предпринимательства в РФ" ст. 10 п. 1 п.п.2;                                       3) Закон Нижегородской области от 05.12.2008 № 171-З "О развитии малого и среднего предпринимательства в Нижегородской области" ст. 4; 4) Постановление Правительства Нижегородской области от 07.02.2001 № 57 "Об утв. Порядка использования бюджетных ассигнований фонда на поддержку терриоорий НО" п. 3;                                                        5) Постановление Администрации городского округа г. Бор НО от 08.06.2015 № 2719 "Об утверждении порядка определения объема и условий предоставления из бюджета городского округа г. Бор субсидий на иные цели муниципальным бюджетным и автономным учреждениям городского округа г. Бор", порядок; </t>
  </si>
  <si>
    <t>1) 01.01.2006                       2) 01.01.2008                        3) 05.12.2008                        4) 07.02.2001                        5) 08.06.2015</t>
  </si>
  <si>
    <t>Содействие отделу МВД городского округа г.Бор в профилактике правонарушений и преступности</t>
  </si>
  <si>
    <t>0310329940</t>
  </si>
  <si>
    <t>1) Федеральный закон от 31.07.1998 № 145-ФЗ "Бюджетный кодекс РФ" ст. 78.1;                                                                                        2) Федеральный закон от 12.01.1996 № 7-ФЗ "О некоммерческих организациях" ст. 2;                                                   3) Закон НО от 07.05.2009 № 52-З "О государственной поддержке социально ориентированных некоммерческих организаций в НО" ст. 4, 5, 6, 10 п. 2, 3;                              4) Пост. Администрации город. округа г. Бор НО от 19.07.2016 № 3389 "Об утв. Положений, регламентирующих предоставление за счет средств бюджета город. округа г. Бор субсидий социально ориентированным некоммерческим организациям, на являющимся госуд. (муниципальными) учреждениями" положение о порядке предоставления за счет ср-в бюджета город. округа г. Бор субсидии социально ориентир. некоммер.орг-ям, не являющимся госуд. (муниц.) учреждениями.</t>
  </si>
  <si>
    <t>1) 31.07.1998                                           2) 12.01.1996                        3) 07.05.2009                        4) 19.07.2016</t>
  </si>
  <si>
    <t>мероприятия в рамках п/пр. "Доп. меры адресной поддержки населения и общественных орг-ций город. округа г.Бор"</t>
  </si>
  <si>
    <t>2310126100</t>
  </si>
  <si>
    <t>5.3.</t>
  </si>
  <si>
    <t>а) Сохранение эффективного взаимодействия администрации городского округа г.Бор и территориальных органов соц. защиты населения городского округа г.Бор;                       б) организация и проведение мероприятий, посвященных социально - значимым событиям;                                        в) поддержка деятельности обществ. организаций.</t>
  </si>
  <si>
    <t xml:space="preserve"> 0310329940</t>
  </si>
  <si>
    <t>мероприятия в рамках п/пр. "Безбарьерная среда жизнидеятельности д/инвалидов и др. маломобильных граждан город. округа г.Бор"</t>
  </si>
  <si>
    <t xml:space="preserve"> 0330129850 </t>
  </si>
  <si>
    <t>5.4.</t>
  </si>
  <si>
    <t>5.5.</t>
  </si>
  <si>
    <t>5.6.</t>
  </si>
  <si>
    <t xml:space="preserve"> мероприятия в рамках МП "Патриотическое и духовно-нравственное воспитание граждан в город. округе г.Бор"</t>
  </si>
  <si>
    <t>5.7.</t>
  </si>
  <si>
    <t>5.8.</t>
  </si>
  <si>
    <t xml:space="preserve">6. Осуществление (предоставление) бюджетных инвестиций в муниципальную собственность (за исключением предоставления бюджетных инвестиций юридическим лицам, не являющимся муниципальными учреждениями и муниципальными унитарными предприятиями)
</t>
  </si>
  <si>
    <t>Осуществление бюджетных инвестиций</t>
  </si>
  <si>
    <t>6.1.1.</t>
  </si>
  <si>
    <t>Организация мероприятий по охране окружающей среды в границах городского округа , в т. ч. расходы на строительство, реконструкцию, проектно - изыскательские работы по отрасли "Национальная экономика"</t>
  </si>
  <si>
    <t>0210200010</t>
  </si>
  <si>
    <t>1) Федеральный закон от 10.01.2002 № 7-ФЗ "Об охране окружающей среды" ст. 7 п. 3 абз. 2                                                2) Закон Нижегородской области от 10.09.1996 № 45-З "Об экологической безопасности" ст. 18</t>
  </si>
  <si>
    <t xml:space="preserve">1) 10.01.2002                     2) 10.09.1996 </t>
  </si>
  <si>
    <t>6.1.2.</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</si>
  <si>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 т.ч.:</t>
  </si>
  <si>
    <t>0210200000</t>
  </si>
  <si>
    <t xml:space="preserve">1) Федеральный закон от 06.10.2003 № 131-ФЗ "Об общих принципах организации местного самоуправления в РФ" ст. 15 п. 1 п.п.5;                                              2) ФЗ от 10.12.1995 №196-ФЗ "О безопасности дорожного движения"  ст. 5                                           </t>
  </si>
  <si>
    <t xml:space="preserve">1) 01.01.2006                        2) 10.12.1995                       </t>
  </si>
  <si>
    <t xml:space="preserve"> 0210200010</t>
  </si>
  <si>
    <t>3) Закон Нижегородской области от  04.12.2008 № 157-З "Об автомобильных дорогах и дорожной деятельности на территории Нижегородской области" ст. 9 п. 4                                          4) Пост. ПНО от 30.11.2011 № 978 "Об утв. Порядка формир. и использования бюдж. ассигн. дорожного фонда НО" р. 2, 3</t>
  </si>
  <si>
    <t>3) 14.12.2008                                           4) 30.11.2011</t>
  </si>
  <si>
    <t>Проектирование и стр-во (реконструкция) автомобильных дорог общего пользования местного значения мун. образований НО, в т.ч. строительство объектов скоростного внеуличного транспорта</t>
  </si>
  <si>
    <t>6.1.3.</t>
  </si>
  <si>
    <t>Организация в границах городского округа электро-, тепло-, газо- и водоснабжения населения, водоотведения, снабжение населения топливом в пределах полномочий, уст. законодательством РФ, в т. ч.:</t>
  </si>
  <si>
    <t>1) Федеральный закон от 06.10.2003 № 131-ФЗ "Об общих принципах организации местного самоуправления в РФ" ст. 15 п. 1 п.п.4;                                              2) ФЗ от 31.03.1999 № 69-ФЗ"О газоснабжении в РФ" ст. 7;              3) ФЗ от 07.12.2011 № 416-ФЗ "О водоснабжении и водоотведении" гл. 4 ст. 23             4) ФЗ от 26.03.2003 № 69-ФЗ "Об электроэнергетике"  ст. 21 п. 4 абз. 14;                                             5)  Закон Нижегородской обл. от 17.12.1996 № 56-З "Об энергоснабжении" ст. 5 абз. 11</t>
  </si>
  <si>
    <t>1) 01.01.2006                        2) 31.03.1999                         3) 01.01.2012                        4) 26.03.2003                     5) 17.12.1996</t>
  </si>
  <si>
    <t>Расходы на строительство, реконструкцию, проектно - изыскательские работы по отрасли "Национальная экономика"</t>
  </si>
  <si>
    <t>0210300010</t>
  </si>
  <si>
    <t xml:space="preserve">Стр-во, реконструкция, проектно - изыскательские работы и разработка ПСД объектов кап. строительства </t>
  </si>
  <si>
    <t xml:space="preserve">02103L5760 </t>
  </si>
  <si>
    <t>6.1.4.</t>
  </si>
  <si>
    <t>1) Федеральный закон от 06.10.2003 № 131-ФЗ «Об общих принципах организации местного самоуправления в РФ» ст. 2 ч. 1, ст. 14 п. 6, ст. 16 ч. 1;                                                     2) Федеральный закон от 29.12.2004 № 188-ФЗ "Жилищный кодекс РФ" ст. 14 ч. 1, ст. 19 п. 3</t>
  </si>
  <si>
    <t>1) 01.01.2006                             2) 01.01.2005</t>
  </si>
  <si>
    <t>6.1.6.</t>
  </si>
  <si>
    <t xml:space="preserve">Организация предоставления общедоступного и бесплатного дошкольного, начального общего, основного общего, среднего общего образованияпо основным общеобразовательным программам в муниц. образовательных организациях, в т. ч.:  </t>
  </si>
  <si>
    <t>1) Федеральный закон от 06.10.2003 № 131-ФЗ "Об общих принципах организации местного самоуправления в РФ" ст. 15 п. 1 п.п.11;                                            2) Закон РФ от 10.07.1992 № 3266-1 "Об образовании" ст. 5; 3) Закон Нижегородской области от 30.12.2005 № 212-З "О социальной поддержке отдельных категорий граждан в целях реализации их прав на образование" ст. 11 п. 2</t>
  </si>
  <si>
    <t>1) 01.01.2006                       2) 10.07.1992                        3) 30.12.2005</t>
  </si>
  <si>
    <t>Расходы на строительство, реконструкцию, проектно - изыскательские работы по отрасли "Образование"</t>
  </si>
  <si>
    <t>0210400010</t>
  </si>
  <si>
    <t>Строительство, реконструкция, проектно-изыскательские работы и разработка проектно-сметной документации объектов капитального строительства</t>
  </si>
  <si>
    <t>02104S2450</t>
  </si>
  <si>
    <t>Организация работ по строительству (реконструкции) дошкольных образовательных организаций, включая финансирование работ по строительству объектов</t>
  </si>
  <si>
    <t>6.1.7.</t>
  </si>
  <si>
    <t>Расходы на строительство, реконструкцию, проектно - изыскательские работы по отрасли "Культура"</t>
  </si>
  <si>
    <t>Расходы на предоставление ежемесячной денежной выплаты гражданам, имеющим звание Почетный гражданин"</t>
  </si>
  <si>
    <t xml:space="preserve">10   </t>
  </si>
  <si>
    <t>0310180930</t>
  </si>
  <si>
    <t>1) 01.01.2006                          2) 02.02.2015</t>
  </si>
  <si>
    <t>Расходы на предоставление ежемесячной денежной выплаты вдовам Героев социалистического труда</t>
  </si>
  <si>
    <t>0310180940</t>
  </si>
  <si>
    <t>Расходы на предоставление ежемесячной денежной выплаты гражданам, имеющим неорганизованных детей - инвалидов в возрасте до 7 лет</t>
  </si>
  <si>
    <t xml:space="preserve"> 0310180950</t>
  </si>
  <si>
    <t>1) ФЗ РФ от 15.12.2001 № 166-ФЗ "О госуд. пенсионном обеспечении" ст. 22 гл. 5;                                                  2)  ФЗ РФ от 23.05.2016 № 143-ФЗ  "О внесении изм. в отд. законод. акты РФ в части увеличения пенсион. возраста отдельным категориям граждан" ст. 2п. 5, ст. 3;                                                               3) Пост. ПНО от 13.12.2007 N 475 "Об утв. Положения о порядке назначения, перерасчета, индексации и выплаты пенсии за выслугу лет лицам, замещавшим госуд. должности и должности госуд. гражд. службы НО, мун. должности и должности мун. службы в НО" положение;                                              4) Закон НО от 24 июня 2003 № 48-З "О пенсии за выслугу лет лицам, замещавшим госуд. должности НО и должности госуд. гражд. службы НО" гл. 2, 3, 4;                                                              5) Решение Совета депутатов город. округа г.Бор НО от 12.11.2013 № 84 " Об утв. Положения о пенсии за выслугу лет лицам, замещавшим мун. должности и должности мун. службы в город. окр.е г. Бор НО" п. 9.2;                                                    6) Пост. Администрации город. округа г. Бор НО от 29.01.2014 № 485 "Об утв. Порядка обращения за пенсией за выслугу лет лиц, замещавших мун. должности и должности мун. службы в органах местного самоуправления город. округа г. Бор (Борского р-на) НО" порядок.</t>
  </si>
  <si>
    <t>1) 01.01.2012                       2) 01.01.2017                     3) 13.12.2007                        4) 24.06.2003                        5) 01.01.2014                      6) 29.01.2014</t>
  </si>
  <si>
    <t>П/пр. "Обеспечение жильем молодых семей", в т. ч.:</t>
  </si>
  <si>
    <t xml:space="preserve">1) Федеральный закон от 06.10.2003 № 131-ФЗ "Об общих принципах организации местного самоуправления в РФ" ст. 2 ч. 1, ст. 14 п. 6, ст. 16 ч. 1;                                                                              2) Федеральный закон  от 29.12.2004 № 188-ФЗ "Жилищный кодекс РФ" ст. 14 ч. 1, ст. 19 п. 3;                                                       3) Постановление Правительства Нижегородской области от 30.04.2014 № 302 "Об утверждении госуд. программы "Развитие жилищного строительства и
государственная поддержка граждан по обеспечению жильем на территории Нижегородской области" в целом;                                                </t>
  </si>
  <si>
    <t xml:space="preserve">1) 01.01.2006                        2) 01.01.2005                        3) 01.01.2015                          </t>
  </si>
  <si>
    <t xml:space="preserve">Осуществление соц.выплат молодым семьям на приобретение жилья или строительство индивидуального жилого дома </t>
  </si>
  <si>
    <t xml:space="preserve">   10</t>
  </si>
  <si>
    <t xml:space="preserve">  04</t>
  </si>
  <si>
    <t>П/пр. "Прочие мероприятия в рамках МП "Обеспечение граждан городского округа г. Бор доступным и комфортным жильем"</t>
  </si>
  <si>
    <t>Компенсация части платежа по полученным гражданами - участниками социальной (льготной) ипотеки ипотечным жилищным кредитам (займам) в рамках ОЦП "Ипотечное жилищное кредитование населения НО" на 2009-2020 г.г.</t>
  </si>
  <si>
    <t>04401S2270</t>
  </si>
  <si>
    <t>0310429950 0310474500</t>
  </si>
  <si>
    <t>4) 27.02.1998                    5) 16.11.2005                                          6) 30.04.2014</t>
  </si>
  <si>
    <t xml:space="preserve"> 7770322000</t>
  </si>
  <si>
    <t>1) Федеральный закон от 06.10.2003 № 131-ФЗ "Об общих принципах организации местного самоуправления в Российской Федерации" ст. 16.1;                                                                    2) Постановление Правительства Нижегородской области от 07.02.2001 № 57 "Об утверждении Порядка использования бюджетных ассигнований фонда на поддержку терриоорий НО" п. 3</t>
  </si>
  <si>
    <t>1) 01.01.2006                        2) 07.02.2011</t>
  </si>
  <si>
    <t>2.5.</t>
  </si>
  <si>
    <t>Расходы на оказание единовременных выплат отдельным категориям граждан в связи с проведением социально- значимого мероприятия, посвященного соответствующей памятной дате</t>
  </si>
  <si>
    <t xml:space="preserve">1) ФЗ от 06.10.2003 № 131-ФЗ "Об общих принципах организации мест. самоуправления в РФ" ст. 16.1; 2) Пост. Администрации город. округа г.Бор от 02.02.2015 № 441 (с изм. от 08.04.2015 № 1661) "Об утв. порядка предос-тавления мер соц. поддержки населения и обществ. орг-ций город. округа г. Бор" р. 1 п. 1.2.; 3) Пост. Администрации город. округа г.Бор от 23.01.2015 № 192 и от 11.02.2016 № 527 "Об утв. порядка назначения единовременной выплаты на рождение ребенка женщинам, работающим в муниц. учреждениях образования, культуры и спорта" р.1 п. 1.2     </t>
  </si>
  <si>
    <t xml:space="preserve">1) 01.01.2006                        2) 01.01.2015                                          </t>
  </si>
  <si>
    <t>2.6.</t>
  </si>
  <si>
    <t>Расходы на оказание адресной поддержки гражданам, оказавшимся в трудной жизненой ситуации</t>
  </si>
  <si>
    <t>0310200120</t>
  </si>
  <si>
    <t>2.7.</t>
  </si>
  <si>
    <t>Расходы на выплаты активистам социально ориентированных некоммерческих организаций</t>
  </si>
  <si>
    <t>0310329930</t>
  </si>
  <si>
    <t>2.8.</t>
  </si>
  <si>
    <t xml:space="preserve">3) 01.01.2015,                                  01.01.2016    </t>
  </si>
  <si>
    <t>3) 31.12.2015</t>
  </si>
  <si>
    <t>2.9.</t>
  </si>
  <si>
    <t xml:space="preserve">Постановление Администрации городского округа г. Бор НО от 30.12.2014 № 9714 "О порядке использования бюджетных ассигнований резервного фонда администрации городского округа г.Бор" п. 3.10.   </t>
  </si>
  <si>
    <t xml:space="preserve"> 01.01.2015</t>
  </si>
  <si>
    <t>2.10.</t>
  </si>
  <si>
    <t>7770321000</t>
  </si>
  <si>
    <t xml:space="preserve">1) ФЗ от 06.10.2003 № 131-ФЗ "Об общих принципах организации мест. самоуправления в РФ" ст. 16;  </t>
  </si>
  <si>
    <t xml:space="preserve">1) 01.01.2006        </t>
  </si>
  <si>
    <t>1) Федеральный закон от 06.10.2003 № 131-ФЗ "Об общих принципах организации местного самоуправления в РФ" ст. 17 п. 1 п.п.3                                                2) Федеральный закон от 25.09.1997 № 126-ФЗ "О финансовых основах местного самоуправления в Российской Федерации" ст. 5 п. 2</t>
  </si>
  <si>
    <t>1) 01.01.2006                        2) 25.09.1997</t>
  </si>
  <si>
    <t>1) Федеральный закон от 06.10.2003 № 131-ФЗ "Об общих принципах организации местного самоуправления в РФ" ст. 17 п. 1 п.п.3                                                2) Федер. закон от 25.09.1997 № 126-ФЗ "О финансовых основах мест. самоуправления в РФ" ст. 5 п. 2</t>
  </si>
  <si>
    <t xml:space="preserve">Осуществление полномочий по созданию и организации деятельности муниципаль-ных комиссий по делам несовершеннолетних и защите их прав </t>
  </si>
  <si>
    <t xml:space="preserve">1) Федеральный закон от 24.06.1999 № 120-ФЗ "Об основах системы профилактики безнадзорности и правонарушений несовершеннолетних" ст. 25 п. 2 2) Закон НО от 26.10.2006 № 121-З "О комиссиях по делам несовершеннолетних и защите их прав в Нижегородской области" ст. 7 п. 2;                         3) Постановление ПНО от 29.01.2007 № 29 "О порядке предоставления местным бюджетам субвенций из обл. фонда компенсаций на осу-ществление госуд. полномочий по исполнению функций КДН и защите их прав, порядке расходования и предс-тавления органами мест. самоуправления отчетности об исползовании субвенций" ст. 1, ст. 5;                                                    4) Распор.администр. город. округа г. Бор НО  от 28.02.2011 № 115-р "Положение о секторе по обеспечению деятельности комиссии несовершеннолетних и защите их прав при админист-рации город. округа г. Бор НО"  </t>
  </si>
  <si>
    <t>1) 24.06.1999                       2) 26.10.2006                      3) 07.09.2007</t>
  </si>
  <si>
    <t xml:space="preserve">                                                             </t>
  </si>
  <si>
    <t xml:space="preserve">Осуществление полномочий по  организации и осуществлению деятельности по опеке и попечи-тельству в отноше-нии совершеннолет-них граждан </t>
  </si>
  <si>
    <t>1) ФЗ от 24.04.2008 № 48-ФЗ  (в ред. от 28.11.2015) "Об опеке и попечительстве" гл. 1 ст. 3,4,5  гл. 2;                                                  2) Пост. Правительства РФ от 17.11.2010 № 927 "Об отдельных вопросах осуществления опеки и попечительства в отношении совершеннолетних недееспособных или не полностью недееспособных граждан", правила;                          3) Пост. ПНО от 29.07.2011 № 572 " Об опеке и попечительст-ве совершеннолетних граждан" положение раздел 3, 4.</t>
  </si>
  <si>
    <t>1) 24.04.2008;                        2) 17.11.2010;                        3) 29.07.2011</t>
  </si>
  <si>
    <t>7770451200</t>
  </si>
  <si>
    <t>1) Постановление Правительства Российской Федерации от 20.08.2004 № 113-ФЗ "О присяжных заседателях федеральных судов общей юрисдикции в РФ" ст. 5 ч. 14</t>
  </si>
  <si>
    <t>1) 20.08.2004</t>
  </si>
  <si>
    <t xml:space="preserve">0420151350 </t>
  </si>
  <si>
    <t>1) Федеральный закон от 12.01.1995 №5-ФЗ «О ветеранах» гл. II ст 23.2. п. 3 п.п. 2, 3;                                            2) Федеральный закон  от 24.11.1995 №181-ФЗ «О социальной защите инвалидов в Российской Федерации» гл. IV ст. 28.2 абз. 5;                               3) Указ Президента Российской Федерации от 07.05.2008 №714 "Об обеспечении жильем ветеранов Великой Отечественной войны 1941-1945 годов" п. 1;                                         4) Закон Правительства Нижегородской области от 07.07.2006 № 68-З "О формах и порядке предоставления мер социальной поддержки по обеспечению жильем отд. категорий граждан в НО" полностью;                                         5) Закон Правительства Нижегородской области от 30.09.2008 № 116-З "О наделении органов местного самоуправления муниц. районов и городских округов НО отд. госуд. полномочиями в области жилищных отношений" ст. 6</t>
  </si>
  <si>
    <t>1) 16.01.1995                         2) 24.11.1995                                 3) 07.05.2008                         4) 07.07.2006                        5) 30.09.2008</t>
  </si>
  <si>
    <t>0420151760</t>
  </si>
  <si>
    <t>1) Федеральный закон  от 24.11.1995 №181-ФЗ «О социальной защите инвалидов в Российской Федерации» гл. IV ст. 28.2 абз. 5;                                           2) Пост. ПНО от 20.03.2015 № 145 "О внесении изменений в ГП "Обеспечение населения НО доступным и комфортным жильем" утв. пост. ПНО от 30.04.2014 № 302", п. 2.1.2 абз. 2</t>
  </si>
  <si>
    <t>1) 24.11.1995                       2) 20.03.2015</t>
  </si>
  <si>
    <t>021Е1S2450</t>
  </si>
  <si>
    <t>1.5</t>
  </si>
  <si>
    <t>811</t>
  </si>
  <si>
    <t>Стипендии</t>
  </si>
  <si>
    <t>4.1.</t>
  </si>
  <si>
    <t xml:space="preserve">1. Муниципальный контракт № 2ЭА/2021 от 27.12.2021г.                                                                2. Соглашение № 44/РД/2022 от 12.07.2022 г.                                                                </t>
  </si>
  <si>
    <t>1)Федеральный закон от 06.10.2003г.№131(ред. От 01.07.2021г.»Об общих принципах организации местного самоуправления в РФ»ст.17 п.1пп.3
2)Закон Нижегородской области от 03.08.2007г. «99-3 «О муниципальной службе в Нижегородской области»(ред. от 03.12.2019г.)
ст.38 абз.1                                        3) Федеральный закон от 07.02.2011г. №6 "Об общих принципах организации и деятельности контрольно-счетных органов субъектов РФ и муниципальных образований"; 4) Распоряжение "Об утверждении положения об оплате труда лиц, замещающих муниципальные должности" № 3 от 11.01.2022 г.; 5) Распоряжение "Об утверждении положения об оплате труда муниципальных служащих КСП" от 11.01.2022 г. № 2</t>
  </si>
  <si>
    <t>1,Закон Нижегородской области "О денежном содержании лиц замещающих муниципальные должностии НО №93-3 ст.6 от 10.10.2003;              2.Закон Нижегородской области "О муниципальной службе в НО"№99-3 ст.38 абз.1 от 03.08.2017г.;    3.ФЗ"О му3ниципальной службе в РФ"25-ФЗ свт.5 п.2 от 02.03.2017;   4.ФЗ "Об общих  прнинцип организации местного самоуправления  в РФ"131-ФЗ ст.34,п.9 от 06.10.2003;  5.ФЗ"Об охране окружающей среды"7-ФЗ ст.16 п.п.1.3 от 10.01.2002; 6.Постановление Правительства "Об утверждении порядка определения платы и ее предельных резервов за загрязнение окружающей природной среды ,размещение отходов,другиевиды вредного воздействия "№32 в целом от 20.081992  ;  7.Решение Совета депутатов от 30.09.2010 №39 Об утверждении Положения о муниципальной службе в городском округе г.Бор</t>
  </si>
  <si>
    <t>1)10.10.2003   2)03.08.2007;   3)02.03.2007;   4)30.12.2015;   5)25.09.1997;    6)10.01.2002;   7)20.08.1992;    8)30.09.2010</t>
  </si>
  <si>
    <t>1) не установлено;   2) не установлено</t>
  </si>
  <si>
    <t>Поощрение муниципальных управленческих команд 2021 год</t>
  </si>
  <si>
    <t>7770455490</t>
  </si>
  <si>
    <t>Муниципальная программа "Развитие сферы жилищно-коммунального хозяйства городского округа город Бор</t>
  </si>
  <si>
    <t>Расходы на обеспечение  деятельности подведомственных учреждений</t>
  </si>
  <si>
    <t>1)Закон Нижегородской области "О пожарной безопасности"16-3 ст.6 от 26.10.1995; 2)Постановление администрации городского округа г.Бор Нижегородской области "Об утверждении  МП"Защита населения и территорий от чрезвычайных ситуаций,обеспечения пожарной безопасности и безопасности людей на водных объектах городского округа г.Бор Нижегородской области"5930 от 24.11.2015в целом; 3)"Об общих принципах организации местного самоуправления в РФ"Закон РФ №131-ФЗ ст.14 п.1п.п9 от 06.10.2003;   4)Постановление администрации городского округа г.Бор №2306 от18.05.15г."По оплате труда муниципальных учреждений городского округа г.Бор 5)Постановление администрации городского округа г.Бор Нижегородской области №5592 от 25.11.2016 "Об изменение типа и наименования МКУ Кантауровский центр обеспечения и содержания территории"</t>
  </si>
  <si>
    <t>1)26.10.1995; 2)01.012016;  3)31.09.1999</t>
  </si>
  <si>
    <t>1)не установлено; 2)31.12.2016;  3)не установлено</t>
  </si>
  <si>
    <t xml:space="preserve">Муниципальная программа "Защита населения и территорий от чрезвычайных ситуаций,обеспечение пожарной безопасности людей на водных объктах городского округа г.Бор Нижегородской области </t>
  </si>
  <si>
    <t xml:space="preserve">Муниципальная программа "Содержание и развитие дорожного хозяйства  городского округа г.Бор </t>
  </si>
  <si>
    <t>1)"Об автомобильных дорогах и дорожной деятешльности на территории Нижегородской области"Закон Нижегородской области 108-з ст.24,п.4 огт 31.05.2000г.;  2) Об автомобильных дорогах и дорожной деятельности на территории НО "Закон Нижегородской области 157-з ст.9 п.4от 04.12.2008;  3)ФЗ "Об общих принципах организации местного самоуправления в РФ" 131ФЗ ст.14 п.1 п.п1 огт 06.10.2003</t>
  </si>
  <si>
    <t>1)31.05.2000;  2)04.12.2008;  3)06.10.2003</t>
  </si>
  <si>
    <t>1)не установлена;   3)не установлена</t>
  </si>
  <si>
    <t>1)"Об автомобильных дорогах и дорожной деятельности на территории Нижегородской области"Закон Нижегородской области 108-з ст.24,п.4 огт 31.05.2000г.;  2) Об автомобильных дорогах и дорожной деятельности на территории НО "Закон Нижегородской области 157-з ст.9,п4 от 04.12.2008;   3)ФЗ "Об общих принципах организации местного самоуправления в РФ"131ФЗ ст.14 п.1п.п1 от 06.10.2003</t>
  </si>
  <si>
    <t>1)31.05.2000   2)04.12.2008   3)06.10.2003</t>
  </si>
  <si>
    <t>Мероприятия по ремонту дорог общего пользования,тротуаров и дворовых территорий в рамках реализации проекта инициативного бюджетирования "Вам решать"</t>
  </si>
  <si>
    <t>Реализация мероприятий,направленных на уличное освещение</t>
  </si>
  <si>
    <t>1)Закон Нижегородской области *Об охране озелененных территорий Нижегородской области " №110-з ст.7,п.3 от 07.03.2007; 2)Постановление Правительства Нижегородской области "Об утверждении типовых правил санитарного содержания территорий,организации  уборки и обеспаечения чистоты и порядка на территории  НО"№309 п.2 от 12.12.2005;  3)ФЗ "Об особо охраняемых природных территориях"   33-ФЗ ст.2,п.6 от 14.03.1995;    4)ФЗ "Об общих принципах организации  местного  самоуправления в РФ"131-ФЗ ст.14,п.1 п.п.19 от 06.10.2003:    5)Постановление Правительства РФ " ОБ утверждении пожарной безопасности  и лесах" №417 п.1 от 30.06.2007</t>
  </si>
  <si>
    <t xml:space="preserve">1)07.03.2007   2)12.12.2005   3)14.03.1995;  4)30.12.2015; 5)30.06.2007  </t>
  </si>
  <si>
    <t>1)не установлена;   2)не установлена</t>
  </si>
  <si>
    <t>Реализация мероприятий ,направленных на содержание и уборку территорий улиц,тротуаров,площадей</t>
  </si>
  <si>
    <t>Уборка территорий и аналогичная деятельность,озеленение</t>
  </si>
  <si>
    <t>Реализация мероприятий,направленных на озеленение</t>
  </si>
  <si>
    <t>Реализация мероприятий,направленных на прочие расходы по благоустройству</t>
  </si>
  <si>
    <t>Реализация мероприятий ,направленных на благоустройство в рамках реализации пректа инициативного бюджетирования "Вам решать"</t>
  </si>
  <si>
    <t>Мероприятия ,направленные на содержание мест захоронений в рамках реализации проекта "Память поколений"</t>
  </si>
  <si>
    <t>05401S2680</t>
  </si>
  <si>
    <t>Закупка товаров,работ и услуг для обеспечения государственных  (муниципальных) нужд</t>
  </si>
  <si>
    <t>Уплата иных платежей</t>
  </si>
  <si>
    <t>Проведение мероприятия "День села Кантаурово"</t>
  </si>
  <si>
    <t>Таблица 1.ПРЕДВАРИТЕЛЬНЫЙ (ПЛАНОВЫЙ)  РЕЕСТР РАСХОДНЫХ ОБЯЗАТЕЛЬСТВ ГОРОДСКОГО ОКРУГА ГОРОД БОР НИЖЕГОРОДСКОЙ ОБЛАСТИ (РЕЕСТР РАСХОДНЫХ ОБЯЗАТЕЛЬСТВ СУБЪЕКТОВ  БЮДЖЕТНОГО ПЛАНИРОВАНИЯ  БЮДЖЕТА ГОРОДСКОГО ОКРУГА ГОРОД БОР) ПО РАСХОДНЫМ ОБЯЗАТЕЛЬСТВАМ, ИСПОЛНЯЕМЫМ ЗА СЧЕТ СОБСТВЕННЫХ ДОХОДОВ И ИСТОЧНИКОВ ФИНАНСИРОВАНИЯ ДЕФИЦИТА БЮДЖЕТА ГОРОДСКОГО ОКРУГА ГОРОД БОР , ЗА ИСКЛЮЧЕНИЕМ ОСТАТКОВ СУБВЕНЦИЙ ПРОШЛЫХ ЛЕТ НА 2023 ГОД И НА ПЛАНОВЫЙ ПЕРИОД 2024 И 2025 ГОДОВ</t>
  </si>
  <si>
    <t>Поощрение муниципальных управленческих команд</t>
  </si>
  <si>
    <t>Реализация мероприятий, направленных на ремонт дорог общего пользования, тротуаров и дворовых территорий</t>
  </si>
  <si>
    <t>Реализация мероприятия по безопасности дорожного движения</t>
  </si>
  <si>
    <t>2.3.1.4</t>
  </si>
  <si>
    <t>МКУ "Редькинский центр обеспечения и содержания территории"</t>
  </si>
  <si>
    <t>Расхорды на обеспечение деятельности подведомственных учреждений</t>
  </si>
  <si>
    <t>04-2627</t>
  </si>
  <si>
    <t>Уборка несанкционированных свалок</t>
  </si>
  <si>
    <t>0540325040</t>
  </si>
  <si>
    <t>Реализация мероприятий по ремонту дорог на территории городского округа г.Бор, основанных на инициативах граждан</t>
  </si>
  <si>
    <t>1) 31.05.2000;  2) 04.12.2008;  3) 06.10.2003;</t>
  </si>
  <si>
    <t xml:space="preserve">1) не установлена         2) не установлена </t>
  </si>
  <si>
    <t xml:space="preserve">1) Федеральный закон от 06.10.2003 № 131-ФЗ "Об общих принципах организации местного самоуправления в Российской Федерации"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"Большепикинский ЦО и СТ" 5591 от 25.11.16            </t>
  </si>
  <si>
    <t xml:space="preserve">1) Федеральный закон от 06.10.2003 № 131-ФЗ "Об общих принципах организации местного самоуправления в Российской Федерации" ст. 14, п. 1, п.п. 9 2) Федеральный закон от 21.12.1994 № 69-ФЗ "О пожарной безопасности" ст. 19 3) Закон Нижегородской области от 26.10.1995 № 16-З "О пожарной безопасности" 4) Федеральный закон от 06.05.2011 N 100-ФЗ (ред. от 22.02.2017) "О добровольной пожарной охране" 5)постановление от 09.11.2016 № 5242 «Об утверждении муниципальной программы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г.Бор» 6)ПОСТАНОВЛЕНИЕ от 30.06.2017 № 3608 О внесении изменений в муниципальную программу «Защита населения и территорий от чрезвычайных ситуаций, обеспечение ожарной безопасности и безопасности людей на водных объектах городского округа город Бор»,  утвержденную постановлением администрации городского округа г. Бор  от 09.11.2016  № 5242 7)постановление от 14.09.2016 № 4368 «Об обеспечении пожарной безопасности объектов и населенных пунктов городского округа г.Бор в осенне-зимний период 2016-2017 годов» </t>
  </si>
  <si>
    <t>1) Федеральный закон от 06.10.2003 № 131-ФЗ "Об общих принципах организации местного самоуправления в Российской Федерации" ст. 14, п. 1, п.п. 5 2)Постановление Правительства Российской Федерации от 03.12.2002 № 858 "О федеральной целевой программе "Социальное развитие села до 2013 года" п. 4 3) Закон Нижегородской области от 04.12.2008 № 157-З "Об автомобильных дорогах и дорожной деятельности на территории Нижегородской области" ст. 9, п. 4</t>
  </si>
  <si>
    <t xml:space="preserve">1) Федеральный закон от 06.10.2003 № 131-ФЗ "Об общих принципах организации местного самоуправления в РФ ст. 14, п. 1, п.п. 22 2)  "О внесении изменений в Правила благоустройства, обеспечения чистоты и порядка на территории городского округа город Бор Нижегородской области, утвержденные решением Совета депутатов городского округа город Бор Нижегородской области от 13.12.2013 № 98" 3) Федеральный закон  "Бюджетный кодекс РФ" от  31.07.1998 "№ 145-фз"  4) Постановление администрации городского округа г.Бор  "Об изменении типа и наименования МБУ "Большепикинский ЦО и СТ" 5591 от 25.11.16    </t>
  </si>
  <si>
    <t xml:space="preserve">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Решение Совета депутатов городского округа г. Бор от 30.09.2010 № 39 "Об утверждении Положения о муниципальной службе в городском округе город Бор"       </t>
  </si>
  <si>
    <t>Расходы за счет иных межбюджетных трансфертов федерального бюджета на поощрение муниципальных управленческих команд в 2021 году</t>
  </si>
  <si>
    <t>1) Федеральный закон от 06.10.2003 № 131-ФЗ "Об общих принципах организации местного самоуправления в Российской Федерации" ст. 34, п. 9
2) Федеральный закон от 02.03.2007 № 25-ФЗ "О муниципальной службе в Российской Федерации"ст. 22, п. 2
3) Закон Нижегородской области от 03.08.2007 № 99-З "О муниципальной службе в Нижегородской области", Ст. 38, абз.1
4) Закон Нижегородской области от 10.10.2003 № 93-З "О денежном содержании лиц, замещающих муниципальные должности в Нижегородской области",Ст.6
5) а депутатов городского округа г. Бор от 30.09.2010 № 39 "Об утверждении Положения о муниципальной службе в городском округе город Бор"                         6) Постановление Првительства Нижегородской обл от 29.11.2021 № 1066 "О поощрении в 2021 году региональных и муниципальных управленческих команд Нижегородской облласти"</t>
  </si>
  <si>
    <t xml:space="preserve">1)01.01.2006,                         
2)02.03.2007, 3)03.08.2007.
4)10.10.2003
5)01.01.2011   6)29.11.2021        </t>
  </si>
  <si>
    <t xml:space="preserve">1)Федеральный закон от 06.10.2003г.№131(ред. От 14.07.2022г.»Об общих принципах организации местного самоуправления в РФ»ст.17 п.1пп.3
2)Закон Нижегородской области от 03.08.2007г. «99-3 «О муниципальной службе в Нижегородской области»(ред. от 18.04.2022г.)
ст.38 абз.1                                            3) Решение от 16.07.2010г. №11 "Об утверждении положения о Совете депутатов городского округа город Бор Нижегородской области"
</t>
  </si>
  <si>
    <t>04-2602          04-2601</t>
  </si>
  <si>
    <t>Расходы на поощрение муниципальных управленческих команд в 2021 году</t>
  </si>
  <si>
    <t>14.12.2021г.</t>
  </si>
  <si>
    <t>1.1.3</t>
  </si>
  <si>
    <t>Расходы, связанные с мотивацией участников проектной деятельности в рамках реализации на территории г.о.г. Бор проекта "Эффективный муниципалитет"</t>
  </si>
  <si>
    <t>2410725030</t>
  </si>
  <si>
    <t>Закупка товаров, работ, услуг</t>
  </si>
  <si>
    <t>0950425130</t>
  </si>
  <si>
    <t>0910174090</t>
  </si>
  <si>
    <t xml:space="preserve">  04-2525</t>
  </si>
  <si>
    <t>0920174090</t>
  </si>
  <si>
    <t>0920325220</t>
  </si>
  <si>
    <t>0930174090</t>
  </si>
  <si>
    <t>Реализация мероприятий, направленных на развитие торговли в городском округе г.Бор</t>
  </si>
  <si>
    <t>04-2529</t>
  </si>
  <si>
    <t>1810129120</t>
  </si>
  <si>
    <t>Мероприятия по реализации проектов комплексного развития сельсских территорий (сельских агломераций)</t>
  </si>
  <si>
    <t>092А255190</t>
  </si>
  <si>
    <t>04-2554</t>
  </si>
  <si>
    <t>0170124920</t>
  </si>
  <si>
    <t>0350105140</t>
  </si>
  <si>
    <t>12102S2440</t>
  </si>
  <si>
    <t>1)08.10.2003 2)01.01.2006      3)30.09.2010</t>
  </si>
  <si>
    <t>1.2.4</t>
  </si>
  <si>
    <t>1320200130</t>
  </si>
  <si>
    <t>Реализация мероприятий , направленных на развитие  сельского хозяйства городскогог округа город Бор  (проведение  выездного мероприяти "День поля")</t>
  </si>
  <si>
    <t>Закон Нижегородской области от 11.11.2005 № 176-З"О наделении органов местного самоупрапвления Нижегородской области отдельными государственными полномочиями по поддержке сельскохозяйственного производства", Постановление администрации г.о.г. Бор от 18.11.2014№8166№"Развитие агропромышленного комплекса в г.о.г. Бор"</t>
  </si>
  <si>
    <t>1)01.01.2006 2)18.11.2014</t>
  </si>
  <si>
    <t>Реализация мероприятий , направленных на развитие  сельского хозяйства городскогог округа город Бор  (проведение  профессионального праздника "День работников сельского хозяйства и перерабатывающей промышленности")</t>
  </si>
  <si>
    <t>Постановление администрации г.о.г.Бор от 13.05.2022 № 2426 "Об утверждении Положения о порядке предоставления субсидий на возмещение части затрат сельскохозяйственных товаропроизводителей  на приобретение минеральных удобрений за счет средств бюджета городского округа г. Бор"</t>
  </si>
  <si>
    <t>Федеральный закон от 06.10.2003 №131-ФЗ "Об общих принципах организации местного самоуправления в Российской Федерации",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производства",Распоряжение Правительства Нижегородской области от 28.10.2021№ 959-р"О реализации отдельных положений Закона НО от 11.11.05г. №176-з"</t>
  </si>
  <si>
    <t>1)08.10.2003; 2)01.01.2006; 3)01.01.2022</t>
  </si>
  <si>
    <t xml:space="preserve">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15.12.2015 N 834 "Положение о порядке предоставления субсидий на возмещение части затрат на приобретение оборудования и техники"</t>
  </si>
  <si>
    <t>1)01.01.2006 2)15.12.2015</t>
  </si>
  <si>
    <t>Обеспечение прироста сельскохозяйственной продукции собственного производства в рамках приоритетных подотраслей АПК за счет средств областного бюджета</t>
  </si>
  <si>
    <t xml:space="preserve">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08.12..2021 N1112 " Об утверждении Порядка предоставления из местного бюджета субсидии на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источником финансового обеспечения которых являются субвенции местным бюджетам для осуществления переданных полномочий по возмещению производителям, осуществляющим разведение и (или) содержание молочного КРС, части затрат на приобретение кормов для молочного КРС"</t>
  </si>
  <si>
    <t>1)01.01.2006  2)08.12.2021</t>
  </si>
  <si>
    <t>Стимулирование увеличения производства картофеля и овощей за счет средств областного и федерального бюджетов</t>
  </si>
  <si>
    <t>13101R0140</t>
  </si>
  <si>
    <t>1)01.01.2006  2)01.01.2023</t>
  </si>
  <si>
    <t>Расходы, связанные с мотивацией участников проектной деятельности в рамках реализации на территории г.о.г.Бор проекта "Эффективный муниципалитет"</t>
  </si>
  <si>
    <t>2420100590 7770455490</t>
  </si>
  <si>
    <t>2030100590    2030200590  7770455490</t>
  </si>
  <si>
    <t>0220100590 7770455490</t>
  </si>
  <si>
    <r>
      <rPr>
        <b/>
        <sz val="12"/>
        <rFont val="Times New Roman"/>
        <family val="1"/>
        <charset val="204"/>
      </rPr>
      <t>МП "Комплексные меры противодействия злоупотреблению наркотиками и их незаконному обороту в город. округе г.Бор"</t>
    </r>
    <r>
      <rPr>
        <sz val="12"/>
        <rFont val="Times New Roman"/>
        <family val="1"/>
        <charset val="204"/>
      </rPr>
      <t>, в т. ч.  реализация мероприятий антинаркотической направленности</t>
    </r>
  </si>
  <si>
    <r>
      <rPr>
        <b/>
        <sz val="12"/>
        <rFont val="Times New Roman"/>
        <family val="1"/>
        <charset val="204"/>
      </rPr>
      <t>МП "Патриотическое и духовно - нравственное воспитание в город. округе г. Бор"</t>
    </r>
    <r>
      <rPr>
        <sz val="12"/>
        <rFont val="Times New Roman"/>
        <family val="1"/>
        <charset val="204"/>
      </rPr>
      <t>, в т. ч. расходы на реализацию мероприятий, направленных на духовно - нравственное воспитание в город. округе г. Бор</t>
    </r>
  </si>
  <si>
    <t>1510100590 7770455490 2410725030</t>
  </si>
  <si>
    <t xml:space="preserve">На материально - техническое обеспечение </t>
  </si>
  <si>
    <r>
      <rPr>
        <b/>
        <sz val="12"/>
        <rFont val="Times New Roman"/>
        <family val="1"/>
        <charset val="204"/>
      </rPr>
      <t>Борское городское отделение Нижегородского обл. отделения Общероссийской ОО "Всероссийское общество охраны природы"</t>
    </r>
    <r>
      <rPr>
        <sz val="12"/>
        <rFont val="Times New Roman"/>
        <family val="1"/>
        <charset val="204"/>
      </rPr>
      <t>, в т.ч.: мероприятия в рамках п/пр. "Доп. меры адресной поддержки населения и общественных орг-ций город. округа г.Бор"</t>
    </r>
  </si>
  <si>
    <r>
      <rPr>
        <b/>
        <sz val="12"/>
        <rFont val="Times New Roman"/>
        <family val="1"/>
        <charset val="204"/>
      </rPr>
      <t>ОО "Ветеранов /пенсионеров/ войны, труда Вооружен-ных сил и правоохранительных органов"</t>
    </r>
    <r>
      <rPr>
        <sz val="12"/>
        <rFont val="Times New Roman"/>
        <family val="1"/>
        <charset val="204"/>
      </rPr>
      <t xml:space="preserve">, в т.ч.: </t>
    </r>
  </si>
  <si>
    <t>Мероприятия по стимулированию программ жилищного строительства в рамках федерального проекта "Жилье"</t>
  </si>
  <si>
    <t>021F150210</t>
  </si>
  <si>
    <t xml:space="preserve">Строительство зданий общеобразовательных организаций в рамках реализации федерального проекта "Современная школа" </t>
  </si>
  <si>
    <t>1) Федеральный закон от 06.10.2003 № 131-ФЗ "Об общих принципах организации местного самоуправления в РФ" ст. 14 п. 1 п.п. 12;                                            2) Основы закон-ва РФ "О культуре" от 09.10.1992 № 3612-1 ст. 40 абз. 1; 3) Пост. Адм-ции НО от 31.12.1996 №333 "Об утв. положения об основах хоз. деят-ти и финан-сирования орг-ций культуры и искусства НО" п. 2</t>
  </si>
  <si>
    <t xml:space="preserve">1) Федеральный закон от 06.10.2003 № 131-ФЗ "Об общих принципах организации местного самоуправления в РФ" ст. 16.1;                                            2) Пост. Администрации город. округа г.Бор от 02.02.2015 № 441 (с изм. от 08.04.2015 № 1661) "Об утв. порядка предоставления мер соц. поддержки населения и обществ. орг-ций город. округа г. Бор" р. 1 п. 1.1.       </t>
  </si>
  <si>
    <t>4) Пост. Администрации НО от 27.02.1998 № 47 "О льгот. жил. кредитовании граждан" полож. о порядке и условиях предост. льгот. цел. кредита гр-нам на стр-во или приобр. жилья на основе ипотеки;                                                5)  Закон НО от 16.11.2005 № 179-З "О порядке ведения органами мест.самоупр.город. окр. и поселений НО учета гр-н в кач-ве нуждающихся в жил. помещениях, предостав. по договорам соц.займа" ст.3;                                               6) Пост. адм. город.о округа г. Бор от 15.08.2013 № 5004 (с изм.от 15.02.2016 № 1074) "Предост. жил. помещения по дог.соц. найма гр-нам, сост. на учёте в кач-ве нуждающихся в жилых помещениях, в город. округе г.Бор НО» прил.</t>
  </si>
  <si>
    <t>2.11.</t>
  </si>
  <si>
    <r>
      <t xml:space="preserve">МКУ по АХО </t>
    </r>
    <r>
      <rPr>
        <sz val="12"/>
        <rFont val="Times New Roman"/>
        <family val="1"/>
        <charset val="204"/>
      </rPr>
      <t>пособия, выплачиваемые работодателями, нанимателями бывшим работникам</t>
    </r>
  </si>
  <si>
    <r>
      <rPr>
        <b/>
        <sz val="12"/>
        <rFont val="Times New Roman"/>
        <family val="1"/>
        <charset val="204"/>
      </rPr>
      <t>Непрограммное направление деятельности</t>
    </r>
    <r>
      <rPr>
        <sz val="12"/>
        <rFont val="Times New Roman"/>
        <family val="1"/>
        <charset val="204"/>
      </rPr>
      <t>, в т.ч. прочие выплаты по обязательствам городского округа (выплата денежной премии победителям смотра - конкурса)</t>
    </r>
  </si>
  <si>
    <t>Софинансирование муниципальных программ поддержки малого и среднего предпринимательства</t>
  </si>
  <si>
    <t>15104S2040</t>
  </si>
  <si>
    <t>МП «Развитие малого и среднего предпринимательства городского округа г. Бор», в т.ч.:</t>
  </si>
  <si>
    <t>КВСР 006</t>
  </si>
  <si>
    <t>06.10.2003    14.03.1995     24.06.10</t>
  </si>
  <si>
    <t>Д.С.Егоров</t>
  </si>
  <si>
    <t>Реализация мероприятий, направленных на обеспечение общественного порядка и противодействия преступности в городском округе</t>
  </si>
  <si>
    <t>Расходы на выплату заработной платы (с начислениями на неё) работникам муниципальных учреждений и органов местного самоуправления</t>
  </si>
  <si>
    <t>0110174090</t>
  </si>
  <si>
    <t>0120174090</t>
  </si>
  <si>
    <t>4.2.1.8</t>
  </si>
  <si>
    <t>4.2.1.9</t>
  </si>
  <si>
    <t>0130174090</t>
  </si>
  <si>
    <t>4.2.1.10</t>
  </si>
  <si>
    <t>4.2.1.11</t>
  </si>
  <si>
    <t>01601L5760</t>
  </si>
  <si>
    <t>Расходы на реализацию мероприятий по имсполнению требований по антитерростической защищенности объектов образования</t>
  </si>
  <si>
    <t>Расходы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</si>
  <si>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</si>
  <si>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Мероприятия по реализации проектов комплексного развития сельских территорий (сельских агломераций) местн.бюджет</t>
  </si>
  <si>
    <t>Расходы на обеспечение деятельности муниципальных организаций отдыха и оздоровления детей</t>
  </si>
  <si>
    <t>012EB57860</t>
  </si>
  <si>
    <t>4.2.2.40</t>
  </si>
  <si>
    <t>4.2.2.41</t>
  </si>
  <si>
    <t>4.2.2.42</t>
  </si>
  <si>
    <r>
      <t xml:space="preserve">1111111111111111111111111111111111111111    </t>
    </r>
    <r>
      <rPr>
        <sz val="14"/>
        <rFont val="Times New Roman"/>
        <family val="1"/>
        <charset val="204"/>
      </rPr>
      <t xml:space="preserve">                                                                                                                                                                                                           25.03.2009 № 149</t>
    </r>
  </si>
  <si>
    <t xml:space="preserve">   Закон Нижегородской области от 21 октября 2005 года № 140-З "О наделении органов местного самоуправления отдельными государственными полномочиями в области образования" (статья 5 пункт 4²)                                                                                                                                                                     </t>
  </si>
  <si>
    <t>Расходы на осуществление полномочий по организации и осуществлению деятельности по опеке и попечительству в отношении несовершеннолетних граждан за счет средств субвенции из областного бюджета</t>
  </si>
  <si>
    <t>7770173020</t>
  </si>
  <si>
    <t>1.1.4</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</si>
  <si>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</si>
  <si>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7770173950</t>
  </si>
  <si>
    <t>Присмотр и уход за детьми -инвалидами ,детьми сиротами,оставшимися без попечения родителей,а также за детьми с туберкулезной интоксикацией ,обучающимися в  муниципальных образовательных организациях,реализующих образовательные программы дошкольного образования</t>
  </si>
  <si>
    <t>0120253030</t>
  </si>
  <si>
    <t>1.1.1.</t>
  </si>
  <si>
    <t>финансирование расходов на содержание органов местного самоуправления городских округов</t>
  </si>
  <si>
    <t xml:space="preserve"> 0550100190</t>
  </si>
  <si>
    <t>0550100590</t>
  </si>
  <si>
    <t>0550100190</t>
  </si>
  <si>
    <t>1.2.1.</t>
  </si>
  <si>
    <t>утверждение правил благоустройства территории муниципильного округа, городского округа, осуществление контроля за их соблюдением</t>
  </si>
  <si>
    <t>1.3.1.</t>
  </si>
  <si>
    <t xml:space="preserve"> 0510100360</t>
  </si>
  <si>
    <t>0510103360</t>
  </si>
  <si>
    <t>05102S2120</t>
  </si>
  <si>
    <t>организация в границах муниципильного округа,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</si>
  <si>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04-2505</t>
  </si>
  <si>
    <t xml:space="preserve"> 0530100370</t>
  </si>
  <si>
    <t>0550225070</t>
  </si>
  <si>
    <t>обеспечение проживающих в муниципильном округе,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</si>
  <si>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0510200135</t>
  </si>
  <si>
    <t>расходы на реализацию иных общегородских вопросов (общегородские мероприятия)</t>
  </si>
  <si>
    <t>04-2628</t>
  </si>
  <si>
    <t>дорожная деятельность в отношении автомобильных дорог местного значения в границах муниципильного округа,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муниципильного округа,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</si>
  <si>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Организация капитального ремонта, ремонта и содержания закрепленных автомобильных дорог общего пользования и искусственных дорожных сооружений в их составе</t>
  </si>
  <si>
    <t xml:space="preserve"> 0810124110</t>
  </si>
  <si>
    <t>0840100590</t>
  </si>
  <si>
    <t>0840200590</t>
  </si>
  <si>
    <t>организация благоустройства территории муниципильного округа,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</si>
  <si>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</si>
  <si>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Уборка территорий и аналогичная деятельность</t>
  </si>
  <si>
    <t>04-2539</t>
  </si>
  <si>
    <t>05401S2870</t>
  </si>
  <si>
    <t>05401S2290</t>
  </si>
  <si>
    <t>05401S2670</t>
  </si>
  <si>
    <t>054G252690</t>
  </si>
  <si>
    <t>Организация благоустройства и озеленения</t>
  </si>
  <si>
    <t xml:space="preserve"> 0540125060</t>
  </si>
  <si>
    <t>0540125080</t>
  </si>
  <si>
    <t>2610225140</t>
  </si>
  <si>
    <t>26201S2820</t>
  </si>
  <si>
    <t>2610274650</t>
  </si>
  <si>
    <t>0610125011</t>
  </si>
  <si>
    <t>4.1.1.6</t>
  </si>
  <si>
    <t>Обеспечение деятельности подведомственного учреждения</t>
  </si>
  <si>
    <t xml:space="preserve"> 0540100590</t>
  </si>
  <si>
    <t>4.1.1.7</t>
  </si>
  <si>
    <t>организация ритуальных услуг и содержание мест захоронения</t>
  </si>
  <si>
    <t xml:space="preserve"> 0540125050</t>
  </si>
  <si>
    <t xml:space="preserve"> организация проведения оплачиваемых общественных работ и временного трудоустройства несовершеннолетних в возрасте от 14 до 18 лет в свободное от учебы время</t>
  </si>
  <si>
    <t>Мероприятия по обеспечению несовершеннолетних временной трудовой занятостью</t>
  </si>
  <si>
    <t>4.1.2.2</t>
  </si>
  <si>
    <t>0820124110</t>
  </si>
  <si>
    <t>08203S2210</t>
  </si>
  <si>
    <t>4.1.2.3</t>
  </si>
  <si>
    <t>0540174700</t>
  </si>
  <si>
    <t xml:space="preserve"> 0540125030</t>
  </si>
  <si>
    <t>261F255550</t>
  </si>
  <si>
    <t>26103S2980</t>
  </si>
  <si>
    <t>Постановление Правительства Нижегородской области от 07.02.2011 N 57  "Об утверждении Порядка использования бюджетных ассигнований фонда на поддержку территорий"</t>
  </si>
  <si>
    <t>Постановление администрации городского округа город Бор № 9714 от 30.12.2014</t>
  </si>
  <si>
    <t>с изменениями от 04.06.2015</t>
  </si>
  <si>
    <t>обеспечение проживающих в муниципильном округе,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законодательствомтвом</t>
  </si>
  <si>
    <t>0510101360</t>
  </si>
  <si>
    <t>0510102360</t>
  </si>
  <si>
    <t>0520101220</t>
  </si>
  <si>
    <t>0520103220</t>
  </si>
  <si>
    <t>0510109501</t>
  </si>
  <si>
    <t>0520104220</t>
  </si>
  <si>
    <t>0520100220</t>
  </si>
  <si>
    <t>0520111220</t>
  </si>
  <si>
    <t>0520105220</t>
  </si>
  <si>
    <t>0520106220</t>
  </si>
  <si>
    <t>0530101370</t>
  </si>
  <si>
    <t>0530101390</t>
  </si>
  <si>
    <t>04-3239</t>
  </si>
  <si>
    <t xml:space="preserve"> Закон НО от 04.08.2011 № 91-З "Об административных комиссиях в Нижегородской области и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законодательства об административных правонарушениях"</t>
  </si>
  <si>
    <t>1. Предоставление субсидий бюджетным и автономным учреждениям, включая субсидии на финансовое обеспечение выполнения ими муниципального задания (за исключением субсидий на осуществление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t>
  </si>
  <si>
    <t>1.1. Предоставление субсидий бюджетным учреждениям</t>
  </si>
  <si>
    <t>1.1.2.</t>
  </si>
  <si>
    <t>Предоставление субсидий бюджетным учреждениям</t>
  </si>
  <si>
    <t>1.1.2.1</t>
  </si>
  <si>
    <t>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 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 на осуществление регионального государственного ветеринарного надзора, осуществление полномочий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t>
  </si>
  <si>
    <t>регулирование численности безнадзорных животных на территории города</t>
  </si>
  <si>
    <t>04-3254</t>
  </si>
  <si>
    <t>0540173310</t>
  </si>
  <si>
    <t xml:space="preserve">Закон Нижегородской области от 03.10.2013 N 129-З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по организации мероприятий при осуществлении деятельности по обращению с животными без владельцев, а также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</si>
  <si>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</si>
  <si>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0510173120</t>
  </si>
  <si>
    <t>01201S2480</t>
  </si>
  <si>
    <t>02103S2590</t>
  </si>
  <si>
    <t>отчетный финансовый год 2022г</t>
  </si>
  <si>
    <t>текущий финансовый год (уточненный план на 01.09.2023г)</t>
  </si>
  <si>
    <t>очередной финансовый год 2024г</t>
  </si>
  <si>
    <t>1-ый год планового периода 2025г</t>
  </si>
  <si>
    <t>2-ой год планового периода 2026г</t>
  </si>
  <si>
    <t xml:space="preserve">Приложение 1  к  Приказу Департамента финансов администрации городского округа г.Бор     № 29 н от 26.09.2023г           </t>
  </si>
  <si>
    <t xml:space="preserve">Приложение 2  к  Приказу Департамента финансов администрации городского округа г.Бор     № 29 н от 26.09.2023г           </t>
  </si>
  <si>
    <t>текущий финансовый год (факт по состоянию на 01.09.2023г)</t>
  </si>
  <si>
    <t xml:space="preserve">1750100190 7770100190 7770455490             </t>
  </si>
  <si>
    <t>1. 08.10.2003         2. 01.06.2007            3. 25.08.2007                                 4. 01.10.2003
5. 01.01.2011</t>
  </si>
  <si>
    <t>и т.д.</t>
  </si>
  <si>
    <t>1. 08.10.2003         2. 25.08.2007       3. 01.01.2011</t>
  </si>
  <si>
    <t xml:space="preserve">1710725130
</t>
  </si>
  <si>
    <t>Контрольно-счетная палата городского округа город Бор</t>
  </si>
  <si>
    <t>1. Содержание органа государственной власти</t>
  </si>
  <si>
    <t>1) 06.10.2003г.2) 03.08.2007г.3) 07.02.2011г.4) 11.01.2022 г.   5) 11.01.2022 г.</t>
  </si>
  <si>
    <t>1.3.1</t>
  </si>
  <si>
    <t>Другие общегосударственные вопросы</t>
  </si>
  <si>
    <t xml:space="preserve">1.Распоряжение администрации городского округа городс Бор №397-р от 20.10.2022                                                                2. Распоряжение администрации городского округа городс Бор №6-р от 09.01.2023                                             3.Распоряжение администрации городского округа городс Бор №19-р от 300.01.2023                                   4. Распоряжение администрации городского округа городс Бор №45-р от 17.02.2023                                     5.Распоряжение администрации городского округа городс Бор №231-р от 17.07.2023   </t>
  </si>
  <si>
    <t>20.10.2022                    09.01.2023                       30.01.2023                                     1702.2023                                17.07.2023</t>
  </si>
  <si>
    <t>31.12.2022                   31.12.2023                  31.12.2023                           31.12.2023                            31.12.2023</t>
  </si>
  <si>
    <t>0810124110</t>
  </si>
  <si>
    <t>обеспечение мероприятиий по обустройству и восстановлению памятных мест, посвященных Великой Отечественной войне 1941-1945 МП«Развитие сферы  жилищно-коммунального хозяйства городского округа город Бор»</t>
  </si>
  <si>
    <t>Реализация мероприятий по обустройству и восстановлению памятных мест, посвященных Великой Отечественной войне 1941-1945</t>
  </si>
  <si>
    <t>04-2602                04-2601</t>
  </si>
  <si>
    <t xml:space="preserve">7770100190            </t>
  </si>
  <si>
    <t>100</t>
  </si>
  <si>
    <t>в рамках МП «Развитие сферы жилищно-коммунального хозяйства городского округа город Бор»</t>
  </si>
  <si>
    <t>обеспечение мероприятий в рамках МП  "Защита населения и территорий от чрезвычайных ситуаций, обеспечение пожарной безопасности и безопасности людей на водных объектах городского округа город Бор Нижегородской области"</t>
  </si>
  <si>
    <t>2.2.4.</t>
  </si>
  <si>
    <t>2.2.5.</t>
  </si>
  <si>
    <t>Реализация мероприятия по безопасности дорожного движени</t>
  </si>
  <si>
    <t>реализация проекта "Вам решать!"</t>
  </si>
  <si>
    <t>мероприятия по ремонту дорог в рамках государственной программы "Развитие транспортной системы Нижегородской области"</t>
  </si>
  <si>
    <t>Расходы за счет средств из резервного фонда администрации</t>
  </si>
  <si>
    <t>обеспечение мероприятий по ликвидация несанкционированных свалок в рамках МП«Развитие сферы  жилищно-коммунального хозяйства городского округа город Бор»</t>
  </si>
  <si>
    <t xml:space="preserve">Уборка территории </t>
  </si>
  <si>
    <t>Расходы на озеленение территории</t>
  </si>
  <si>
    <t>обеспечение мероприятий по содержанию мест захоронения в рамках МП«Развитие сферы  жилищно-коммунального хозяйства городского округа город Бор»</t>
  </si>
  <si>
    <t>обеспечение мероприятий по благоустройству сельских территорий в рамках МП«Развитие сферы  жилищно-коммунального хозяйства городского округа город Бор»</t>
  </si>
  <si>
    <t>мероприятия по благоустройству сельских территорий</t>
  </si>
  <si>
    <t>2.2.16</t>
  </si>
  <si>
    <t>обеспечение мероприятий в рамках МП«Развитие сферы  жилищно-коммунального хозяйства городского округа город Бор»</t>
  </si>
  <si>
    <t>Останкинский территориальный отдел</t>
  </si>
  <si>
    <t>7770100190             7770455490</t>
  </si>
  <si>
    <t>Другие общегосударственные расходы</t>
  </si>
  <si>
    <t>Распоряжение Администрации городского округа город Бор Нижегородской области " О выделение денежных средств из резервного фонда администрации городского округа город Бор"</t>
  </si>
  <si>
    <t>1) 20.04.2023 № 113         2) 01.08.2023 № 250</t>
  </si>
  <si>
    <t>Выплаты персоналу казенных учреждений МКУ "Останкинский центр обеспечения и содержания территории"</t>
  </si>
  <si>
    <t>Закупка товаров, работ, услуг в целях содержания казенных учреждений  МКУ "Останкинский центр обеспечения и содержания территории"</t>
  </si>
  <si>
    <t>2.2.2</t>
  </si>
  <si>
    <t>Иные расходы МКУ "Останкинский центр обеспечения и содержания территории"</t>
  </si>
  <si>
    <t>Территориальный отдел админимтрации городского округа город Бор в паселке Память Парижской Коммуны</t>
  </si>
  <si>
    <t>1.Распоряжение администрации городского округа городс Бор №210 от 02.06.2022</t>
  </si>
  <si>
    <t>МКУ "Центр обеспечения и содержания территррии Память Парижской Коммуны"</t>
  </si>
  <si>
    <t>1)01.01.2006
2)21.12.1994
3)26.10.1995                                                                                                                                                                                                                                                         4)06.05.2011
5)01.01.2017</t>
  </si>
  <si>
    <t>1)01.01.2006,
2)01.01.2003
3)14.12.2008
1)01.01.2006,
2)01.01.2003
3)14.12.2008</t>
  </si>
  <si>
    <t>1.Распоряжение администрации городского округа город Бор №22 от 26.01.2022 2. Распоряжение администрации городского округа город Бор №58 от 18.02.2022</t>
  </si>
  <si>
    <t>1)26.01.2022,
2)18.02.2022</t>
  </si>
  <si>
    <t>1,4</t>
  </si>
  <si>
    <t>04-2601,04-2902</t>
  </si>
  <si>
    <t>Постановление администрации городского округа город Бор Нижегородской области №6397 от 08.12.2022 "Об утверждении Порядка поощрения муниципальной управленчечкой команды городского округа город Бор Нижегородской области в 2022 году"</t>
  </si>
  <si>
    <t>Распоряжение №7-р от 10.01.2023 г. "О выделении денежных средств из резервного фонда администрации городского округа г.Бор" (на погребение Черемисина А.); Распоряжение №50-р от 27.02.2023 г. "О выделении денежных средств из резервного фонда администрации городского округа г.Бор" (на погребение Голенкова  А.А.)</t>
  </si>
  <si>
    <t>Распоряжение Правительства Нижегородской области №609-р от 06.06.2023г. на приобретение и установку спортивного комплекса на детской площадке, расположенной по адресу: п. Неклюдово, ул. Полевая, между домами №7 и №11</t>
  </si>
  <si>
    <t>Распоряжение Правительства Нижегородской области №906-р от 10.08.2023г. на приобретение и установку игрового элемента «Пожарная машинка» для детской площадки по адресу: п. Неклюдово, ул. Клубная, д. 5</t>
  </si>
  <si>
    <r>
      <rPr>
        <b/>
        <sz val="14"/>
        <rFont val="Times New Roman"/>
        <family val="1"/>
        <charset val="204"/>
      </rPr>
      <t xml:space="preserve">1) </t>
    </r>
    <r>
      <rPr>
        <sz val="14"/>
        <rFont val="Times New Roman"/>
        <family val="1"/>
        <charset val="204"/>
      </rPr>
      <t xml:space="preserve">ст.16, 17 ФЗ от 06.10.2003 № 131-ФЗ "Об общих принципах организации местного самоуправления в РФ";            </t>
    </r>
    <r>
      <rPr>
        <b/>
        <sz val="14"/>
        <rFont val="Times New Roman"/>
        <family val="1"/>
        <charset val="204"/>
      </rPr>
      <t xml:space="preserve"> 2) </t>
    </r>
    <r>
      <rPr>
        <sz val="14"/>
        <rFont val="Times New Roman"/>
        <family val="1"/>
        <charset val="204"/>
      </rPr>
      <t>Закон Нижегородской обл. от 03.08.2007 "99-3 "О муниципальной службе в Нижегородской области" ст.38                                                 3)Решение Совета депутатов городского округа г. Бор Нижегородской области от 10.12.2010 N 82 "Об учреждении управления жилищно-коммунального хозяйства и благоустройства администрации городского округа город Бор Нижегородской области и утверждении положения о нем"</t>
    </r>
  </si>
  <si>
    <t xml:space="preserve">1) с изм. и доп., в редакции от 04.08.2023 ;             2)с изм. и доп., в редакции от 01.03.2023г. ;          3) с изм. и доп., в редакции от 24.11.2020г. </t>
  </si>
  <si>
    <t>Исполнение судебных актов Российской Федерации и мировых соглашений по возмещению причиненного вреда</t>
  </si>
  <si>
    <r>
      <rPr>
        <b/>
        <sz val="14"/>
        <rFont val="Times New Roman"/>
        <family val="1"/>
        <charset val="204"/>
      </rPr>
      <t xml:space="preserve">1) </t>
    </r>
    <r>
      <rPr>
        <sz val="14"/>
        <rFont val="Times New Roman"/>
        <family val="1"/>
        <charset val="204"/>
      </rPr>
      <t xml:space="preserve">ст.16, 17 ФЗ от 06.10.2003 № 131-ФЗ "Об общих принципах организации местного самоуправления в РФ";            </t>
    </r>
    <r>
      <rPr>
        <b/>
        <sz val="14"/>
        <rFont val="Times New Roman"/>
        <family val="1"/>
        <charset val="204"/>
      </rPr>
      <t xml:space="preserve"> 2) </t>
    </r>
    <r>
      <rPr>
        <sz val="14"/>
        <rFont val="Times New Roman"/>
        <family val="1"/>
        <charset val="204"/>
      </rPr>
      <t>Закон Нижегородской обл. от 03.08.2007 "99-3 "О муниципальной службе в Нижегородской области" ст.38                                                 3)Решение Совета депутатов городского округа г. Бор Нижегородской области от 10.12.2010 N 82 "Об учреждении управления жилищно-коммунального хозяйства и благоустройства администрации городского округа город Бор Нижегородской области и утверждении положения о нем"      4)Устав муниципального образования городского округа город Бор Нижегородской области</t>
    </r>
  </si>
  <si>
    <t xml:space="preserve">1) с изм. и доп., в редакции от 04.08.2023 ;             2)с изм. и доп., в редакции от 01.03.2023г. ;          3) с изм. и доп., в редакции от 24.11.2020г.        </t>
  </si>
  <si>
    <t>0510105360</t>
  </si>
  <si>
    <t>оказание поддержки социально ориентированным некоммерческим организациям, благотворительной деятельности и добровольчеству (волонтерству)</t>
  </si>
  <si>
    <t xml:space="preserve">Субсидии бюджетным учреждениям на финансовое обеспечение муниципального задания на оказание муниципальных услуг (выполнение работ)
</t>
  </si>
  <si>
    <t>1) ст.16  ФЗ от 06.10.2003 № 131-ФЗ "Об общих принципах организации местного самоуправленияв РФ";                         2) ФЗ  от 08.11.2007 № 257-ФЗ "Об автомобильных дорогах и о дорожной деятельности в РФ и о внесении изменений в отдельные акты РФ" ст.13 п.1, ст.18 п.1;                                3) Постановление Прватильства Нижегородской области от 30.11.2011 № 978 " Об утверждении порядка формирования и использования бюджетных ассигнований дорожного фонда    Нижегор. области" п.3;                                                           4) З-н Нижегородской области от 10.09.2010 №144-З "Об обеспечении чистоты и порядка на территории Нижегородской области                                     5) Решение Совета депутатов от 13.12.13г. № 98 "Об утверждении Правил благоустройства, обеспечения чистоты и порядка на территории г.о. г.Бор Нижег.обл.</t>
  </si>
  <si>
    <t>1) с изм. и доп., в редакции от 04.08.2023 ;       2) с изм. и доп., в редакции от 01.09.2023 ;                               3) с изм. и доп. от 06.04.2022г.,                           4) с изм. и доп. от 31.08.2022г.,
5) с изм. и доп. от 26.01.2021г.</t>
  </si>
  <si>
    <t>4.1.1.5</t>
  </si>
  <si>
    <t>0540174090</t>
  </si>
  <si>
    <t xml:space="preserve">1) ст.16  ФЗ от 06.10.2003 № 131-ФЗ "Об общих принципах организации местного самоуправленияв РФ";                         2) ФЗ  от 08.11.2007 № 257-ФЗ "Об автомобильных дорогах и о дорожной деятельности в РФ и о внесении изменений в отдельные акты РФ" ст.13 п.1, ст.18 п.1;                                3) Постановление Прватильства Нижегородской области от 30.11.2011 № 978 " Об утверждении порядка формирования и использования бюджетных ассигнований дорожного фонда    Нижегор. области" п.3;                                                           4) З-н Нижегородской области от 10.09.2010 №144-З "Об обеспечении чистоты и порядка на территории Нижегородской области                                     5) Решение Совета депутатов от 13.12.13г. № 98 "Об утверждении Правил благоустройства, обеспечения чистоты и порядка на территории г.о. г.Бор Нижег.обл. </t>
  </si>
  <si>
    <t>0540325080</t>
  </si>
  <si>
    <t>261F254240</t>
  </si>
  <si>
    <t>с изменениями от 03.02.2023г.</t>
  </si>
  <si>
    <t>Расходы за счет резервных фондов</t>
  </si>
  <si>
    <t>4.1.2.8.</t>
  </si>
  <si>
    <t>1) ст.16  ФЗ от 06.10.2003 № 131-ФЗ "Об общих принципах организации местного самоуправленияв РФ"; 2)Устав муниципального образования городского округа город Бор Нижегородской области</t>
  </si>
  <si>
    <t xml:space="preserve">1) с изм. и доп., в редакции от 04.08.2023 ;  </t>
  </si>
  <si>
    <t xml:space="preserve">1) с изменениями от 07.04.2020
</t>
  </si>
  <si>
    <t>Постановление Правительства НО № 22 от 21.01.2010г. "Об утверждении Порядка использования бюджетных ассигнований резервного фонда Правительства НО"</t>
  </si>
  <si>
    <t xml:space="preserve">с изм. и доп. от 06.03.2023г. </t>
  </si>
  <si>
    <t xml:space="preserve">1) ФЗ от 21.07.2007 № 185-ФЗ "О фонде содействия реформированию жилищно-коммунального хозяйтсва"                      2) Жилищный кодекс РФ       </t>
  </si>
  <si>
    <t xml:space="preserve">1)в редакции от 19.12.2023г.; 2) с изм. и доп. от 04.08.2023г. </t>
  </si>
  <si>
    <t xml:space="preserve">1) ст.16  ФЗ от 06.10.2003 № 131-ФЗ "Об общих принципах организации местного самоуправленияв РФ"; 2)постановление Правительства Российской Федерации от 13 мая 2013 г. N 406 "О государственном регулировании тарифов в сфере водоснабжения и водоотведения" 3)Постановление Правительства РФ от 22.10.2012 N 1075  "О ценообразовании в сфере теплоснабжения"
</t>
  </si>
  <si>
    <t>1) с изм. и доп., в редакции от 04.08.2023 ;     2)в ред. от 28.03.2023г.    3)в ред. от 28.03.2023</t>
  </si>
  <si>
    <t>Дополнительные меры социальной поддержки</t>
  </si>
  <si>
    <t>1) ФЗ от 06.10.2003 № 131-ФЗ "Об общих принципах организации местного самоуправленияв РФ";                    2) Посовление Правительства РФ от 1 декабря 2015 г. N 1297  "об утверждении государственной программы
Российской Федерации "Доступная среда на 2011 -
2020 годы"</t>
  </si>
  <si>
    <t xml:space="preserve">1) с изм. и доп., в редакции от 04.08.2023 ;     </t>
  </si>
  <si>
    <t>0330229850</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</si>
  <si>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</si>
  <si>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0550173930</t>
  </si>
  <si>
    <t>с изменениями на 6 июля 2023года</t>
  </si>
  <si>
    <t xml:space="preserve"> (принят постановлением ЗС НО от 26.09.2013 N 1059-V) с изменениями от 20.12.2022г.
</t>
  </si>
  <si>
    <t xml:space="preserve">1) Закон НО от 10 декабря 2004 года № 147-З "О мерах социальной поддержки детей-сирот и детей,
оставшихся без попечения родителей"
 2) Закон НО от 30 сентября 2008 года № 116-З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жилищных отношений
</t>
  </si>
  <si>
    <t>1) с изменениями на 02.08.2023г.   2)с изменениями на 07.09.2023г.</t>
  </si>
  <si>
    <t>Расходы на поощрение муниципальных управленческих команд в 2022 году</t>
  </si>
  <si>
    <t>Распоряжение администрации городского округа город Бор Нижегородской области № 717-р от 09.12.22</t>
  </si>
  <si>
    <t xml:space="preserve">04-2605          </t>
  </si>
  <si>
    <t>Распоряжение администрации городского округа город Бор Нижегородской области № 63-р от 28.02.22</t>
  </si>
  <si>
    <t>0950174090</t>
  </si>
  <si>
    <t>0950274090</t>
  </si>
  <si>
    <t>09401S4090</t>
  </si>
  <si>
    <t>09301S4090</t>
  </si>
  <si>
    <t>Постановление Правительства Нижегородской области от 15 октября 2008г. № 468 "Об оплате труда работников государственных организаций, осуществляющих образовательную деятельность на территории Нижегородской области, а также иных государственных организаций Нижегородской области, учредителем которых яявляется министерство образования, науки и молодежной политики Нижегородской области"</t>
  </si>
  <si>
    <t>Расходы в рамках национального проекта "Культура" по мероприятию "Модернизация детских школ искусств по видам искусств путем их реконструкции и (или) капитального ремонта.</t>
  </si>
  <si>
    <t>092А155193</t>
  </si>
  <si>
    <t xml:space="preserve">Реализация дополнительных общеразвивающих программ;
</t>
  </si>
  <si>
    <t>Обеспечение доступа к объектам спорта льготных категорий граждан;
Оказание физкультурно-оздоровительных услуг различными группами населени;
Проведение тестирования выполнения нормативов испытаний (тестов) комплекса ГТО</t>
  </si>
  <si>
    <t>Организация и проведение официальных спортивных мероприятий;
Содержание, обеспечение участия в официальных сортивных соревнованиях спортивных сборных команд;</t>
  </si>
  <si>
    <t>Спортивная подготовка по олимпийским видам спорта, Спортивная подготовка по неолимпийским видам спорта;
Реализация дополнительных образовательных программ спортивной подготовки по адаптивным видам спорта Спорт с поражением ОДА</t>
  </si>
  <si>
    <t>1) 06.01.2007</t>
  </si>
  <si>
    <t>Субсидии некоммерческим организациям</t>
  </si>
  <si>
    <t>1) Постановление администрации городского округа город Бор от 09.06.2023 №3453 "Об утверждении Порядка предоставления субсидии  на возмещение затрат, связанных с участием в официальных областных физкультурных мероприятиях и спортивных мероприятиях по командным игровым видам спорта от имени г.о.г. Бор";
2) Соглашение о предоставлении субсидии от 11.07.2023 №1;</t>
  </si>
  <si>
    <t>1) 09.06.2023
2) 11.07.2023</t>
  </si>
  <si>
    <t>1) Не ограничен
2) 31.12.2023</t>
  </si>
  <si>
    <t>Упраление образования и молодежной политики администрации городского округа город Бор</t>
  </si>
  <si>
    <t>0150174090</t>
  </si>
  <si>
    <t>ИМЦ                                                             МКУ "Бухгалтерия образования"</t>
  </si>
  <si>
    <t xml:space="preserve"> Федеральный закон от 06.10.2003 № 131-ФЗ "Об общих принципах организации местного самоуправления в Российской Федерации" </t>
  </si>
  <si>
    <t xml:space="preserve">1)статья 5, 28 Федарального закона " Об образовании  в Российской Федерации" № 273- ФЗ от 29.12.2012 ,  2) Постановление Правительства Нижегородской области  "Об организации отдыха, оздоровления и занятости детей и молодежи Нижегородской области"                                    </t>
  </si>
  <si>
    <t>4.2.1.12</t>
  </si>
  <si>
    <t xml:space="preserve">)Федеральный закон от 06.10.2003 № 131-ФЗ "Об общих принципах организации местного самоуправления в Российской Федерации"  </t>
  </si>
  <si>
    <t>Реализация мероприятий в рамках адресной инвестиционной программы</t>
  </si>
  <si>
    <t>01101S2450</t>
  </si>
  <si>
    <t>4.2.2.5</t>
  </si>
  <si>
    <t>Содействие заключению энергосервисных договоров</t>
  </si>
  <si>
    <t>4.2.2.8</t>
  </si>
  <si>
    <t>Расходы на капитальный ремонт образовательных организаций, реализующих общеобразовательные программ</t>
  </si>
  <si>
    <t>01602S2540</t>
  </si>
  <si>
    <t>Расходы на проведение ремонтных работ в целях обеспечения безопасности жизнедеятельности в муниципальных образовательных организациях</t>
  </si>
  <si>
    <t>0160300590</t>
  </si>
  <si>
    <t>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</si>
  <si>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012EB5179F</t>
  </si>
  <si>
    <t>Расходы на дополнительное финансовое обеспечение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Нижегородской области</t>
  </si>
  <si>
    <t>Расходы на реализацию мероприятий модернизацию пищеблоков муниципальных общеобразовательных организаций</t>
  </si>
  <si>
    <t>01603S2530</t>
  </si>
  <si>
    <t>01602S2250</t>
  </si>
  <si>
    <t>Расходы на обеспечение оснащения муниципальных образовательных организаций, в том числе структурных подразделений указанных организаций, государственными символами Российской Федерации фед.бюджет</t>
  </si>
  <si>
    <t>4.2.2.21</t>
  </si>
  <si>
    <t>Расходы на реализацию мероприятий, по финансовому обеспечению бесплатным двухразовым питанием обучающихся с ограниченными возможностями здоровья, не проживающих в муниципальных организациях, осуществляющих образовательную дечтельность,  в части финансирования стоимости набора продуктов для организации питания.</t>
  </si>
  <si>
    <t>4.2.2.25</t>
  </si>
  <si>
    <t>Расходы на реализацию мероприятий по модернизации школьных систем образования</t>
  </si>
  <si>
    <t>01601L7500</t>
  </si>
  <si>
    <t>Постановление Правительства РФ от 26.12.2017 №1642 об утверждении ГП РФ "Развитие образования"</t>
  </si>
  <si>
    <t>012ЕВ51790</t>
  </si>
  <si>
    <t>Капитальный ремонт муниципальных учреждений в рамках реализации адресной инвестиционной программы Нижегородской области</t>
  </si>
  <si>
    <t>01601S2450</t>
  </si>
  <si>
    <t>риобретение путевок, возмещение части расходов по приобретению путевок в загородные детские оздоровительно-образовательные центры (лагеря) Нижегородской области, оплата стоимости набора продуктов питания в лагерях с дневным пребыванием детей, организованных на базе образовательных учреждений округа</t>
  </si>
  <si>
    <t>4.2.2.32</t>
  </si>
  <si>
    <t>Управление средствами резервного фонда администарции городского округа город Бор</t>
  </si>
  <si>
    <t>4.2.2.33</t>
  </si>
  <si>
    <t xml:space="preserve">Иные бюджетные ассигнования </t>
  </si>
  <si>
    <t xml:space="preserve">Субвенция на исполнение полномочий в сфере общего образования в муниципальных дошкольных образовательных организациях за счет средств субвенции из областного </t>
  </si>
  <si>
    <t>Федеральный закон от 06.10.2003 №131-ФЗ "Об общих принципах организации местного самоуправления в Российской Федерации",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  Решение Совета Депутатов г.о.г.Бор от 30.09.2010 №39 "О муниципальной службе городского округа г. Бор"</t>
  </si>
  <si>
    <t>1)08.10.2003 2)01.01.2006      3)30.09.2011</t>
  </si>
  <si>
    <t>Реализация мероприятий , направленных на развитие  сельского хозяйства городскогог округа город Бор  (участие в областных, конкурсах, выставках и конференциях, направленных на развитие сельского хозяйства городского)</t>
  </si>
  <si>
    <t>Реализация мероприятий, направленных на развитие производства продукции растениеводства (субсидия на возмещение части затрат сельскохозяйственным товаропроизводителям на приобретение минеральных удобрений)</t>
  </si>
  <si>
    <t>04-3201        04-3202</t>
  </si>
  <si>
    <t xml:space="preserve">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09.03.2023 N 193 "Об  утверждении порядка и условий предоставления из местного бюджета субсидии на возмещение производителям зерновых культур части затрат на производство и реализацию зерновых культур, источником финансового обеспечения которых являются субвенции местным бюджетам для осуществления переданных гос. полномочий по возмещениюпроизводителям зерновых культур части затрат на производство и реализацию зерновых культур"</t>
  </si>
  <si>
    <t>1)01.01.2006  2)09.03.2023</t>
  </si>
  <si>
    <t>Возмещение части затрат на поддержку элитного семеноводства за счет средств федерального и областного бюджетов</t>
  </si>
  <si>
    <t xml:space="preserve">
 Закон Нижегородской области от 11.11.2005 №176-З"О наделении органов местного самоуправления Нижегородской области отдельными государственными полномочиями по поддержке сельскохозяйственного производства";  постановление Правительства Нижегородской области от 15.12.2022г. № 1071 «О государственной поддержке на стимулирование увеличения производства картофеля и овощей»</t>
  </si>
  <si>
    <t>13101R5014</t>
  </si>
  <si>
    <t>Обеспечение прироста сельскохозяйственной продукции собственного производства в рамках приоритетных подотраслей АПК за счет средств областного и федерального бюджетов</t>
  </si>
  <si>
    <t>13102R5020</t>
  </si>
  <si>
    <t>Возмещение части затрат на поддержку собственного производства молока за счет средств федерального и областного бюджетов</t>
  </si>
  <si>
    <t>13102R5011</t>
  </si>
  <si>
    <t>10.</t>
  </si>
  <si>
    <t>11.</t>
  </si>
  <si>
    <t>Возмещение части затрат на поддержку племенного животноводства за счет средств областного бюджета</t>
  </si>
  <si>
    <t>13102R5015</t>
  </si>
  <si>
    <t>12.</t>
  </si>
  <si>
    <t>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</si>
  <si>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13101R368F</t>
  </si>
  <si>
    <t>13.</t>
  </si>
  <si>
    <t>01    01</t>
  </si>
  <si>
    <t>02   04</t>
  </si>
  <si>
    <t>7770200590 7770455490</t>
  </si>
  <si>
    <r>
      <t xml:space="preserve">средства резервного фонда администрации городского округа г.Бор </t>
    </r>
    <r>
      <rPr>
        <sz val="9"/>
        <rFont val="Times New Roman"/>
        <family val="1"/>
        <charset val="204"/>
      </rPr>
      <t xml:space="preserve">( </t>
    </r>
    <r>
      <rPr>
        <b/>
        <u/>
        <sz val="9"/>
        <rFont val="Times New Roman"/>
        <family val="1"/>
        <charset val="204"/>
      </rPr>
      <t>2022г.</t>
    </r>
    <r>
      <rPr>
        <u/>
        <sz val="9"/>
        <rFont val="Times New Roman"/>
        <family val="1"/>
        <charset val="204"/>
      </rPr>
      <t xml:space="preserve"> </t>
    </r>
    <r>
      <rPr>
        <sz val="9"/>
        <rFont val="Times New Roman"/>
        <family val="1"/>
        <charset val="204"/>
      </rPr>
      <t xml:space="preserve">: на оплату р-дов связан. с похоронами погибших солдат, выполняя воинский долг в ходе спецоперации на Украине 264,4т.р.; пополнение резерва мат.ресурсов д/ликвид.ЧС 106,3т.р.; изгот. указателей и табличек д/разверт.пункта врем.размещ. 4,5т.р.; изгот. баннера 11,1т.р.; орг-ция питания участников ком.-штаб.учений 57,0т.р.; разраб. и согласов. Проекта безопасности г.о.г.Бор 95,0т.р.; </t>
    </r>
    <r>
      <rPr>
        <b/>
        <u/>
        <sz val="9"/>
        <rFont val="Times New Roman"/>
        <family val="1"/>
        <charset val="204"/>
      </rPr>
      <t>2023г.</t>
    </r>
    <r>
      <rPr>
        <sz val="9"/>
        <rFont val="Times New Roman"/>
        <family val="1"/>
        <charset val="204"/>
      </rPr>
      <t>: на оплату р-дов связан. с похоронами погибших солдат, выполняя воинский долг в ходе спецоперации на Украине 399,1т.р.; выполнение работ по ликвидации авар. ситуации на газопроводе в р-не жилого кв-ла ДНП "Возрождение 60,4т.р.; приобретение материальных ресурсов д/ликвидации ЧС 58,0т.р. )</t>
    </r>
  </si>
  <si>
    <t xml:space="preserve">01    03   </t>
  </si>
  <si>
    <t xml:space="preserve">13   09  </t>
  </si>
  <si>
    <t>Мероприятия, направленные на сбор исходных данных, обследование зем. участков для определения возможности строительства объекта,расходы на которые не связанны с увеличением стоимости нефинансовых активов</t>
  </si>
  <si>
    <t>0210710010</t>
  </si>
  <si>
    <t>Расходы за счет средств резервного фонда ПНО на оплату экспертизы по объекту "Детский сад на 240 мест в микрорайоне Красногорка г. Бор НО"</t>
  </si>
  <si>
    <t>13) Решение инвест. Совета при Губернаторе НО от 16.10.2015 № 11947-181-8116 " Реконст-рукция Региональной автомат. Системы централизованного оповещения ГО НО"</t>
  </si>
  <si>
    <t>13) 16.10.2015</t>
  </si>
  <si>
    <t>Средства резерв. фонда адм. г.о.г.Бор (на оплату р-дов связанных с похоронами: Почет. гр-н г.о.г.Бор 18,0т.р.; погибших солдат, выполняя воинский долг в ходе спецоперации на Украине 231,4т.р.; орг-ция питания гр-н, привлеч. на тушение лес. пожаров 62,3т.р.)</t>
  </si>
  <si>
    <t>Расходы, связанные с использованием современных технологий и техническим оснащением оборудованием</t>
  </si>
  <si>
    <t>2410525020</t>
  </si>
  <si>
    <r>
      <t xml:space="preserve">Расходы, связанные с рассмотрениями обращений граждан </t>
    </r>
    <r>
      <rPr>
        <sz val="10"/>
        <rFont val="Times New Roman"/>
        <family val="1"/>
        <charset val="204"/>
      </rPr>
      <t>(подписка, приобретение почтовых средст, оргтехники, расходных материалов к оргтехники)</t>
    </r>
  </si>
  <si>
    <r>
      <rPr>
        <b/>
        <sz val="12"/>
        <rFont val="Times New Roman"/>
        <family val="1"/>
        <charset val="204"/>
      </rPr>
      <t>Непрограммное направление деятельности</t>
    </r>
    <r>
      <rPr>
        <sz val="12"/>
        <rFont val="Times New Roman"/>
        <family val="1"/>
        <charset val="204"/>
      </rPr>
      <t xml:space="preserve">, в т.ч. прочие выплаты по обязательствам городского округа </t>
    </r>
    <r>
      <rPr>
        <sz val="10"/>
        <rFont val="Times New Roman"/>
        <family val="1"/>
        <charset val="204"/>
      </rPr>
      <t>(оплата услуг за предоставление статистической информации; общегородские мероприятия)</t>
    </r>
  </si>
  <si>
    <t>3.1.4.</t>
  </si>
  <si>
    <r>
      <rPr>
        <b/>
        <sz val="11"/>
        <rFont val="Times New Roman"/>
        <family val="1"/>
        <charset val="204"/>
      </rPr>
      <t xml:space="preserve">МП "Профилактика правонарушений и противодействие проявлениям терроризма и экстремизма на территории городского округа г. Бор", </t>
    </r>
    <r>
      <rPr>
        <sz val="11"/>
        <rFont val="Times New Roman"/>
        <family val="1"/>
        <charset val="204"/>
      </rPr>
      <t>в т.ч. реализация мероприятий, направленных на обеспечение общественного порядка и противодействия преступности в городском округе г.Бор</t>
    </r>
  </si>
  <si>
    <r>
      <t xml:space="preserve">Прочие выплаты по обязательствам городского округа </t>
    </r>
    <r>
      <rPr>
        <sz val="10"/>
        <rFont val="Times New Roman"/>
        <family val="1"/>
        <charset val="204"/>
      </rPr>
      <t>(внесение изменений в Правила землепользования и застройки город.округа г.Бор НО)</t>
    </r>
  </si>
  <si>
    <r>
      <rPr>
        <b/>
        <sz val="10"/>
        <rFont val="Times New Roman"/>
        <family val="1"/>
        <charset val="204"/>
      </rPr>
      <t>МП "Развитие торговли на территории городского округа г. Бор"</t>
    </r>
    <r>
      <rPr>
        <sz val="10"/>
        <rFont val="Times New Roman"/>
        <family val="1"/>
        <charset val="204"/>
      </rPr>
      <t>, в т.ч.</t>
    </r>
    <r>
      <rPr>
        <b/>
        <sz val="10"/>
        <rFont val="Times New Roman"/>
        <family val="1"/>
        <charset val="204"/>
      </rPr>
      <t xml:space="preserve"> </t>
    </r>
    <r>
      <rPr>
        <sz val="10"/>
        <rFont val="Times New Roman"/>
        <family val="1"/>
        <charset val="204"/>
      </rPr>
      <t>реализация мероприятий, направленных на материально-техническое обеспечение межмуниципальных ярмарок</t>
    </r>
  </si>
  <si>
    <t>1) Федеральный закон от 06.10.2003 № 131-ФЗ "Об общих принципах организации местного самоуправления в РФ" ст. 14 п. 1 п.п. 12;                                            2) Основы законодательства РФ "О культуре" от 09.10.1992 № 3612-1 ст. 40 абз. 1;                                       3) Постановление Администрации Нижегородской области от 31.12.1996 № 333 "Об утверждени положения об основах хозяйственной деятельности и финансирования организаций культуры и искусства Нижегородской области" п. 2</t>
  </si>
  <si>
    <r>
      <rPr>
        <b/>
        <sz val="10"/>
        <rFont val="Times New Roman"/>
        <family val="1"/>
        <charset val="204"/>
      </rPr>
      <t>П/пр. "Борская семья"</t>
    </r>
    <r>
      <rPr>
        <sz val="10"/>
        <rFont val="Times New Roman"/>
        <family val="1"/>
        <charset val="204"/>
      </rPr>
      <t>, в т. ч. мероприятия в области социальной политики (приобретение призов для награждения победителей конкурсов)</t>
    </r>
  </si>
  <si>
    <r>
      <rPr>
        <b/>
        <sz val="10"/>
        <rFont val="Times New Roman"/>
        <family val="1"/>
        <charset val="204"/>
      </rPr>
      <t>П/пр. "Профилактика социально значимых заболеваний и развитие безвозмездного донорства в город. окруне г.Бор"</t>
    </r>
    <r>
      <rPr>
        <sz val="10"/>
        <rFont val="Times New Roman"/>
        <family val="1"/>
        <charset val="204"/>
      </rPr>
      <t xml:space="preserve">, в т.ч. мероприятия в области здравоохранения (приобретение продуктовых наборов для вручения донорам, буклетов "Обследование на ВИЧ" и брошюр) </t>
    </r>
  </si>
  <si>
    <r>
      <t xml:space="preserve">П/пр. "Доп.меры адресной поддержки населения и общественных организаций городского округа г.Бор", </t>
    </r>
    <r>
      <rPr>
        <sz val="10"/>
        <rFont val="Times New Roman"/>
        <family val="1"/>
        <charset val="204"/>
      </rPr>
      <t>в т. ч. поздравления отд.категорий граждан с памятной датой</t>
    </r>
  </si>
  <si>
    <t>Субсидии МБУ "Борское информационное агентство" на финансовое обеспечение муниципального задания на оказание муниципальных услуг (выполнение работ)</t>
  </si>
  <si>
    <t>Осуществление издательской деятельности (кол-во номеров); производство и выпуск сетевого издания</t>
  </si>
  <si>
    <t>2430100590 24301S2050</t>
  </si>
  <si>
    <t xml:space="preserve">1) Федеральный закон от 06.10.2003 № 131-ФЗ «Об общих принципах организации местного самоуправления в РФ»                                                         2) Пост. Администрации город. округа г. Бор НО от 18.01.2023 № 172 "О реорганизации МУП Борского района "БИА""                  3) Пост. Администрации город. округа г. Бор НО от  23.05.2023 № 3014 "Устав МБУ "Борское информационное агенство" в целом.                             </t>
  </si>
  <si>
    <t>1) 01.01.2006                             2) 18.01.2023                            3) 23.05.2023</t>
  </si>
  <si>
    <r>
      <t xml:space="preserve">Субсидии МБУ "Борское охотничье-рыболовное хозяйство" на иные цели, в т.ч.:                                                   </t>
    </r>
    <r>
      <rPr>
        <u/>
        <sz val="10"/>
        <rFont val="Times New Roman"/>
        <family val="1"/>
        <charset val="204"/>
      </rPr>
      <t>2022г.</t>
    </r>
    <r>
      <rPr>
        <sz val="10"/>
        <rFont val="Times New Roman"/>
        <family val="1"/>
        <charset val="204"/>
      </rPr>
      <t>:</t>
    </r>
    <r>
      <rPr>
        <sz val="14"/>
        <rFont val="Times New Roman"/>
        <family val="1"/>
        <charset val="204"/>
      </rPr>
      <t xml:space="preserve"> </t>
    </r>
    <r>
      <rPr>
        <sz val="10"/>
        <rFont val="Times New Roman"/>
        <family val="1"/>
        <charset val="204"/>
      </rPr>
      <t xml:space="preserve">расходы на поощрение муниципальных управленческих команд </t>
    </r>
  </si>
  <si>
    <t>0710100590 7770455490</t>
  </si>
  <si>
    <t>Расходы на поощрение муниципальных управленческих команд в 2022 году; расходы, связанные с мотивацией участников проектной деятельности в рамках реализации на территории г.о.г.Бор проекта "Эффективный муниципалитет" (2022г.)</t>
  </si>
  <si>
    <t xml:space="preserve"> 15102S2040</t>
  </si>
  <si>
    <r>
      <rPr>
        <b/>
        <sz val="12"/>
        <rFont val="Times New Roman"/>
        <family val="1"/>
        <charset val="204"/>
      </rPr>
      <t>Средства фонда поддержки территории НО</t>
    </r>
    <r>
      <rPr>
        <sz val="12"/>
        <rFont val="Times New Roman"/>
        <family val="1"/>
        <charset val="204"/>
      </rPr>
      <t xml:space="preserve"> </t>
    </r>
    <r>
      <rPr>
        <sz val="11"/>
        <rFont val="Times New Roman"/>
        <family val="1"/>
        <charset val="204"/>
      </rPr>
      <t>на проведение регионального бизнес - форума "Перспектива"</t>
    </r>
  </si>
  <si>
    <r>
      <t>Автономная некоммерческая спортивная организация "Красный рамень"</t>
    </r>
    <r>
      <rPr>
        <sz val="12"/>
        <rFont val="Times New Roman"/>
        <family val="1"/>
        <charset val="204"/>
      </rPr>
      <t xml:space="preserve">, </t>
    </r>
    <r>
      <rPr>
        <sz val="10"/>
        <rFont val="Times New Roman"/>
        <family val="1"/>
        <charset val="204"/>
      </rPr>
      <t>в т.ч. мероприятия в рамках п/пр. "Доп. меры адресной поддержки населения и общественных орг-ций город. округа г.Бор"</t>
    </r>
  </si>
  <si>
    <r>
      <rPr>
        <b/>
        <sz val="12"/>
        <rFont val="Times New Roman"/>
        <family val="1"/>
        <charset val="204"/>
      </rPr>
      <t>Борская городская организация НОО ООО "ВОИ"</t>
    </r>
    <r>
      <rPr>
        <sz val="14"/>
        <rFont val="Times New Roman"/>
        <family val="1"/>
        <charset val="204"/>
      </rPr>
      <t xml:space="preserve">, </t>
    </r>
    <r>
      <rPr>
        <sz val="12"/>
        <rFont val="Times New Roman"/>
        <family val="1"/>
        <charset val="204"/>
      </rPr>
      <t>в т.ч.:</t>
    </r>
  </si>
  <si>
    <r>
      <rPr>
        <b/>
        <sz val="14"/>
        <rFont val="Times New Roman"/>
        <family val="1"/>
        <charset val="204"/>
      </rPr>
      <t>ОО "Ветераны и Инвалиды Боевых Действий городского округа г.Бор НО"</t>
    </r>
    <r>
      <rPr>
        <sz val="14"/>
        <rFont val="Times New Roman"/>
        <family val="1"/>
        <charset val="204"/>
      </rPr>
      <t xml:space="preserve">, </t>
    </r>
    <r>
      <rPr>
        <sz val="10"/>
        <rFont val="Times New Roman"/>
        <family val="1"/>
        <charset val="204"/>
      </rPr>
      <t>в т.ч.: мероприятия в рамках п/пр. "Доп. меры адресной поддержки населения и общественных орг-ций город. округа г.Бор"</t>
    </r>
  </si>
  <si>
    <r>
      <rPr>
        <b/>
        <sz val="12"/>
        <rFont val="Times New Roman"/>
        <family val="1"/>
        <charset val="204"/>
      </rPr>
      <t>Общественный Благотворительный детский фонд городского округа г.Бор НО "Виктория"</t>
    </r>
    <r>
      <rPr>
        <sz val="14"/>
        <rFont val="Times New Roman"/>
        <family val="1"/>
        <charset val="204"/>
      </rPr>
      <t xml:space="preserve">, </t>
    </r>
    <r>
      <rPr>
        <sz val="10"/>
        <rFont val="Times New Roman"/>
        <family val="1"/>
        <charset val="204"/>
      </rPr>
      <t xml:space="preserve">в т.ч.: </t>
    </r>
  </si>
  <si>
    <t>мероприятия в рамках п/пр. "Профилактика социально-значимых заболеваний в  город. округе г.Бор"</t>
  </si>
  <si>
    <r>
      <t xml:space="preserve">Автономная некоммерческая организация центр социальной адаптации и поддержки детей и взрослых с аутизмом и другими нарушениями развития "Планета" </t>
    </r>
    <r>
      <rPr>
        <sz val="10"/>
        <rFont val="Times New Roman"/>
        <family val="1"/>
        <charset val="204"/>
      </rPr>
      <t>мероприятия в рамках п/пр. "Доп. меры адресной поддержки населения и общественных орг-ций город. округа г.Бор"</t>
    </r>
  </si>
  <si>
    <t>5.9.</t>
  </si>
  <si>
    <r>
      <t xml:space="preserve">Автономная некоммерческая организация "ДоброБор" </t>
    </r>
    <r>
      <rPr>
        <sz val="10"/>
        <rFont val="Times New Roman"/>
        <family val="1"/>
        <charset val="204"/>
      </rPr>
      <t>мероприятия в рамках п/пр. "Доп. меры адресной поддержки населения и общественных орг-ций город. округа г.Бор"</t>
    </r>
  </si>
  <si>
    <t xml:space="preserve">05   </t>
  </si>
  <si>
    <t xml:space="preserve">02  </t>
  </si>
  <si>
    <t>Мероприятия в рамках реализации проекта инициативного бюджетирования "Вам решать!"</t>
  </si>
  <si>
    <t>77705S2600</t>
  </si>
  <si>
    <t>Расходы на строительство, реконструкцию, проектно - изыскат. работы по отрасли "Жилищно - коммунальное хозяйство"</t>
  </si>
  <si>
    <t>Строительство, реконструкция, проектно-изыскательские работы и разработка ПСД объектов капитального строительства</t>
  </si>
  <si>
    <t>021F150210 021F1S2450 021F1S2010</t>
  </si>
  <si>
    <t>Мероприятия в рамках региональной программы Нижегородской области "Модернизация системы коммунальной инфраструктуры"</t>
  </si>
  <si>
    <r>
      <t xml:space="preserve">Обеспечение проживающих в город. округе и нуждающихся в жилых помещениях малоимущих граждан жилыми помещениями, орг-ция стр-ва и содержания муниц. жилищного фонда, создание условий для жилищного стр-ва, осуществление муниципального жилищного контроля, в т. ч. </t>
    </r>
    <r>
      <rPr>
        <b/>
        <sz val="10"/>
        <rFont val="Times New Roman"/>
        <family val="1"/>
        <charset val="204"/>
      </rPr>
      <t>расходы на стр-во, реконструкцию, ПИР по отрасли "Жилищно - коммунальное хозяйство"; стр-во, реконструкция, ПИР в рамках реализации Национ. проекта "Жилье и городская среда", фед. проекта "Обеспечение устойч. сокращения непригод. для проживания жил. фонда"</t>
    </r>
  </si>
  <si>
    <t>0210300010  021F367483 021F367484 021F36748S 02103S2620</t>
  </si>
  <si>
    <t>021P252320 021P25232F</t>
  </si>
  <si>
    <t>021Е153050 021E1S3050</t>
  </si>
  <si>
    <t xml:space="preserve">08      </t>
  </si>
  <si>
    <t xml:space="preserve">01  </t>
  </si>
  <si>
    <t xml:space="preserve">0210500010  </t>
  </si>
  <si>
    <r>
      <t xml:space="preserve">Публичные нормативные социальные выплаты гражданам </t>
    </r>
    <r>
      <rPr>
        <sz val="10"/>
        <rFont val="Times New Roman"/>
        <family val="1"/>
        <charset val="204"/>
      </rPr>
      <t>в рамках п/пр. "Доп.меры адресной поддержки населения и общественных организаций городского округа г.Бор", в т.ч.:</t>
    </r>
  </si>
  <si>
    <t>Расходы на предоставление социальной денежной выплаты членам семей лиц, погибших в связи с выполнением задач в ходе специальной военной операции</t>
  </si>
  <si>
    <t>0310180970</t>
  </si>
  <si>
    <r>
      <rPr>
        <b/>
        <sz val="12"/>
        <rFont val="Times New Roman"/>
        <family val="1"/>
        <charset val="204"/>
      </rPr>
      <t>П/пр. "Доп.меры адресной поддержки населения и общественных организаций городского округа г.Бор"</t>
    </r>
    <r>
      <rPr>
        <sz val="14"/>
        <rFont val="Times New Roman"/>
        <family val="1"/>
        <charset val="204"/>
      </rPr>
      <t>, в т. ч. ежемесячная доплата к пенсиям лицам, замещавшим муниципальные должности и лицам, замещавшим должности муниципальной службы городского округа г. Бор</t>
    </r>
  </si>
  <si>
    <r>
      <t xml:space="preserve">П/пр. "Доп.меры адресной поддержки населения и общественных организаций городского округа г.Бор", в т.ч.: </t>
    </r>
    <r>
      <rPr>
        <sz val="10"/>
        <rFont val="Times New Roman"/>
        <family val="1"/>
        <charset val="204"/>
      </rPr>
      <t>предостав. соц.выплат на приобретение автономных дымовых пожарных извещателей для установки в помещениях граждан, относящихся к "группе риска", в т.ч. многодетных семей, одинокопро-живающих престарелых граждан и т.п.</t>
    </r>
  </si>
  <si>
    <t>0310529960</t>
  </si>
  <si>
    <r>
      <rPr>
        <b/>
        <sz val="11"/>
        <rFont val="Times New Roman"/>
        <family val="1"/>
        <charset val="204"/>
      </rPr>
      <t xml:space="preserve">П/пр. "Доп.меры адресной поддержки населения и общественных организаций городского округа г.Бор", в т.ч.: </t>
    </r>
    <r>
      <rPr>
        <sz val="11"/>
        <rFont val="Times New Roman"/>
        <family val="1"/>
        <charset val="204"/>
      </rPr>
      <t>Предоставление социальных выплат на возмещение части процентной ставки по кредитам, полученным гражданами на газификацию жилья в российских кредитных организациях</t>
    </r>
  </si>
  <si>
    <r>
      <rPr>
        <b/>
        <sz val="12"/>
        <rFont val="Times New Roman"/>
        <family val="1"/>
        <charset val="204"/>
      </rPr>
      <t>Непрограммное направление деятельности, в т.ч.</t>
    </r>
    <r>
      <rPr>
        <sz val="14"/>
        <rFont val="Times New Roman"/>
        <family val="1"/>
        <charset val="204"/>
      </rPr>
      <t xml:space="preserve"> </t>
    </r>
    <r>
      <rPr>
        <sz val="12"/>
        <rFont val="Times New Roman"/>
        <family val="1"/>
        <charset val="204"/>
      </rPr>
      <t>Средства фонда поддержки территорий Нижегородской области (материальная помощь)</t>
    </r>
  </si>
  <si>
    <r>
      <t xml:space="preserve">Мероприятия в области социальной политики </t>
    </r>
    <r>
      <rPr>
        <sz val="10"/>
        <rFont val="Times New Roman"/>
        <family val="1"/>
        <charset val="204"/>
      </rPr>
      <t>(единовременная выплата на рождение ребенка женщинам, работающим в муниципальных учреждениях образования,  культуры и спорта)</t>
    </r>
  </si>
  <si>
    <r>
      <rPr>
        <b/>
        <sz val="12"/>
        <rFont val="Times New Roman"/>
        <family val="1"/>
        <charset val="204"/>
      </rPr>
      <t>Резервный фонд администрации городского округа г. Бор</t>
    </r>
    <r>
      <rPr>
        <sz val="12"/>
        <rFont val="Times New Roman"/>
        <family val="1"/>
        <charset val="204"/>
      </rPr>
      <t xml:space="preserve">: </t>
    </r>
    <r>
      <rPr>
        <sz val="10"/>
        <rFont val="Times New Roman"/>
        <family val="1"/>
        <charset val="204"/>
      </rPr>
      <t xml:space="preserve"> (</t>
    </r>
    <r>
      <rPr>
        <b/>
        <u/>
        <sz val="10"/>
        <rFont val="Times New Roman"/>
        <family val="1"/>
        <charset val="204"/>
      </rPr>
      <t>2022г.</t>
    </r>
    <r>
      <rPr>
        <sz val="10"/>
        <rFont val="Times New Roman"/>
        <family val="1"/>
        <charset val="204"/>
      </rPr>
      <t xml:space="preserve">: оказание материальной помощи Соловьеву А.С. на оплату расходов, связанных с похоронами Соловьевой А.И. 50000=; оказание материальной помощи Лёзовой О.А. на оплату расходов, связанных с похоронами Марковой Т.М. 50000=; оказание материальной помощи Горшкову С.Н. на оплату расходов, связанных с похоронами Горшковой З.К. 50000=) </t>
    </r>
  </si>
  <si>
    <t>2.12.</t>
  </si>
  <si>
    <t>1) Федеральный закон от 06.10.2003 №131-ФЗ "Об об-щих принципах организации мест. самоуправления в РФ" ст. 14 п.п. 28, ст. 15 п.п. 25;                                                    2) Федеральный закон от  24.07.2007 № 209-ФЗ "О развитии малого и среднего предпр-ва в РФ";                         3) Пост.Правительства РФ от 18.09.2020 №1492 "Об общих требованиях к нормативным правовым актам, муниц. правовым актам, регулирующим предос-тавление субсидий,в т.ч. грантов в форме субсидий, юрид. лицам, ИП, а также физ. лицам- производителям товаров, работ, услуг"</t>
  </si>
  <si>
    <t>Возмещение части затрат субъектов мал. и сред. предпринимат-ва, связанных с приобретением оборудования в целях создания и (или) развития либо модернизации произв-ва товаров (работ, услуг)</t>
  </si>
  <si>
    <t>15105S2040</t>
  </si>
  <si>
    <t>2) 01.01.2008</t>
  </si>
  <si>
    <t>Возмещение части затрат субъектов мал. и сред. предпринимат-ва, связанных с уплатой лизинговых платежей по договору (договорам) лизинга, заключенному (заключенным) с российскими лизинговыми организациями в целях создания и (или) развития либо модернизации производства товаров (работ, услуг)</t>
  </si>
  <si>
    <t>15106S2040</t>
  </si>
  <si>
    <t>3) 01.01.2021</t>
  </si>
  <si>
    <t>Возмещение части затрат субъектов мал. и сред. предпринимат-ва, связанных с уплатой первого взноса (аванса) при заключении договора (договоров) лизинга оборудования с российскими лизинговыми организациями, в целях создания и (или) развития либо модернизации производства товаров (работ, услуг)</t>
  </si>
  <si>
    <t>15107S2040</t>
  </si>
  <si>
    <r>
      <rPr>
        <b/>
        <sz val="14"/>
        <rFont val="Times New Roman"/>
        <family val="1"/>
        <charset val="204"/>
      </rPr>
      <t>Непрограммное направление деятельности</t>
    </r>
    <r>
      <rPr>
        <sz val="14"/>
        <rFont val="Times New Roman"/>
        <family val="1"/>
        <charset val="204"/>
      </rPr>
      <t xml:space="preserve">, в т.ч. прочие выплаты по обязательствам городского округа </t>
    </r>
  </si>
  <si>
    <r>
      <t xml:space="preserve">МКУ Борстройзаказчик </t>
    </r>
    <r>
      <rPr>
        <sz val="11"/>
        <rFont val="Times New Roman"/>
        <family val="1"/>
        <charset val="204"/>
      </rPr>
      <t>(оплата по исполнительному листу)</t>
    </r>
  </si>
  <si>
    <r>
      <rPr>
        <b/>
        <sz val="14"/>
        <rFont val="Times New Roman"/>
        <family val="1"/>
        <charset val="204"/>
      </rPr>
      <t>Непрограммное направление деятельности</t>
    </r>
    <r>
      <rPr>
        <sz val="14"/>
        <rFont val="Times New Roman"/>
        <family val="1"/>
        <charset val="204"/>
      </rPr>
      <t>, в т. ч. прочие выплаты по обязательствам городского округа (оплата членских взносов, административных штрафов)</t>
    </r>
  </si>
  <si>
    <t xml:space="preserve"> 7770173920</t>
  </si>
  <si>
    <t xml:space="preserve"> 7770173940</t>
  </si>
  <si>
    <r>
      <rPr>
        <b/>
        <sz val="14"/>
        <rFont val="Times New Roman"/>
        <family val="1"/>
        <charset val="204"/>
      </rPr>
      <t xml:space="preserve">Непрограммное напрвление деятельности, в т.ч. </t>
    </r>
    <r>
      <rPr>
        <sz val="14"/>
        <rFont val="Times New Roman"/>
        <family val="1"/>
        <charset val="204"/>
      </rPr>
      <t>составление (изменение, дополнение) списков кандидатов в присяжные заседатели федеральных судов общей юрисдикции в Российской Федерации</t>
    </r>
  </si>
  <si>
    <t>0420273160</t>
  </si>
  <si>
    <t>1620100190         2410725030        7770100190</t>
  </si>
  <si>
    <t xml:space="preserve">1.«Положение об оплате труда муниципальных служащих Департамента имущественных и земельных отношений адм-ции го г.Бор Нижегородской области», «Положение об оплате труда работников не замещающих должности муниципальной службы работников рабочих профессий Департамента имущественных и земельных отношений адм-ции го г.Бор»,утв.распоряж.Департамента имущества от 10.06.2015г. № 131
2.Положение о муниципальной службе в городском округе город Бор, утвержденное решением Совета депутатов городского округа город Бор от 30.09.2010 N 39 "Об утверждении Положения о муниципальной службе в городском округе город Бор" (в редакции решений от 27.12.2011 N 119, от 29.05.2012 N 32, от 26.11.2012 N 104, от 28.05.2013 N 46, от 29.10.2013 N 78, от 13.12.2013 N 100, от 25.03.2014 N 17
3.Федеральный закон от 06.10.2003 N 131-ФЗ "Об общих принципах организации местного самоуправления в Российской Федерации"  ст.16
4. Устав муниципального образования городского округа город Бор Нижегородской области(принят реш.Совета депутатов от 25.01.2011 №1)ст.10, ст.69 часть 3
</t>
  </si>
  <si>
    <t>01.06.2015                   30.09.2010,                08.10.2003,         16.03.2011</t>
  </si>
  <si>
    <t xml:space="preserve">1.Федеральный закон от 6.10.2003 №131-ФЗ «Об общихпринципахорганизацииместного самоуправления в Российской Федерации» 
Ст.16
</t>
  </si>
  <si>
    <t>Административно-хозяйственная служба</t>
  </si>
  <si>
    <t>04-2504</t>
  </si>
  <si>
    <t xml:space="preserve">1.« Положение об оплате труда работников не замещающих должности муниципальной службы работников рабочих профессий Департамента имущественных и земельных отношений адм-ции го г.Бор», ,утв.распоряж.Департамента имущества от 10.06.2015г. №131
2 "Трудовой кодекс Российской Федерации" от 30.12.2001 №197-ФЗ
</t>
  </si>
  <si>
    <t>01.06.2015    01.02.2002</t>
  </si>
  <si>
    <t>1.Федеральный закон от 6.10.2003 №131-ФЗ «Об общих принципах организации местного самоуправления в Российской Федерации» 
Ст.16</t>
  </si>
  <si>
    <t>Учет и ведение Реестра мун.имущества го г.Бор</t>
  </si>
  <si>
    <t xml:space="preserve">1.Федеральный закон от 6.10.2003 №131-ФЗ «Об общихпринципахорганизацииместного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
</t>
  </si>
  <si>
    <t xml:space="preserve"> 08.10.2003,         16.03.2011</t>
  </si>
  <si>
    <t>Управление муниципальным имущ. го г.Бор</t>
  </si>
  <si>
    <t>1610226000  16102S2030</t>
  </si>
  <si>
    <t xml:space="preserve"> 08.10.2003,         25.01.2011</t>
  </si>
  <si>
    <t>Распоряжение муниц.имуществом го г.Бор</t>
  </si>
  <si>
    <t>Формирование муниц.имущественной казны</t>
  </si>
  <si>
    <t>200    400</t>
  </si>
  <si>
    <t>1.«Положение о Департаменте имущественных и земельных отношений адмистрации го г.Бор Нижегородской области»,утв.решением Совета дутатов го г.Бор НО от 10.12.2010г. №86, п.3.3.4     2.Устав муниципального образования городского округа город Бор Нижегородской области(принят реш.Совета депутатов от 25.01.2011 №1)ст.11,п.2</t>
  </si>
  <si>
    <t xml:space="preserve"> 10.02.2010,         16.03.2011</t>
  </si>
  <si>
    <t>Взнос на капремонт общего имущества многокв.жил.домов в части нежилых муниц.помещений</t>
  </si>
  <si>
    <t xml:space="preserve">1 ".Жилищный кодекс РФ" от 29.12.2004 №188-ФЗ,ст.167
2.Закон НО от 28.11.13г. №159-з
3.Постан.НО от 29.09.14г.№662
4..Постан.НО от30.09.15г.№617 5..Постан.НО от 29.09.16г.№667 </t>
  </si>
  <si>
    <t xml:space="preserve"> 01.03.2005,         15.12.2013          29.09.2014             30.09.2015                  29.09.2016</t>
  </si>
  <si>
    <t>3.1.7</t>
  </si>
  <si>
    <t>Мероприятия по переселению граждан из жилищного фонда, принаного аварийным после 01.01.2012 (оценка выкупаемых аварийных помещений у граждан)</t>
  </si>
  <si>
    <t>0430100250</t>
  </si>
  <si>
    <t>Расходы на приобретение жилых помещений для предоставления гражданам, утратившим жилые помещения в результате пожара, по договорам социального найма</t>
  </si>
  <si>
    <t>04204S2400</t>
  </si>
  <si>
    <t xml:space="preserve">1.Федеральный закон от 6.10.2003 №131-ФЗ «Об общихпринципахорганизацииместного самоуправления в Российской Федерации» 
Ст.16 п.1 пп.6
2. Устав муниципального образования городского округа город Бор Нижегородской области(принят реш.Совета депутатов от 25.01.2011 №1)ст.10,п.2,
пп.6
3. Федеральный закон от21.07.2007 №185-ФЗ «О Фонде содействия реформированию жилищно-коммунального хозяйства»
4.ГРАП «Переселение граждан из авариного жил.фонда на тер-рии НО на 2013-2017гг»,ут.впостан.прав-ва НО от 19.06.13г.№383,Приложение 1
5. ".Жилищный кодекс РФ" от 29.12.2004 №188-ФЗ,ст.85,86,89                                    6.ГРАП "Переселение граждан из аварийного жилищного фонда на территории Нижегородской области на 2019-2025 годы",утв.Постановлением Правительства НО от 29.03.2019г. №168                                                                                
                                                                             </t>
  </si>
  <si>
    <t>08.10.2003                   16.03.2011,                07.08.2007,         19.06.2013         01.03.2005</t>
  </si>
  <si>
    <t>ГРАП "Переселение граждан из аварийного жилищного фонда на территории Нижегордской области на 2019-2023 годы"</t>
  </si>
  <si>
    <t>043F367484 043F367483 043F36748S 04302S2620</t>
  </si>
  <si>
    <t>08.10.2003                   16..03..2011,                07.08.2007,         19.06.2013         01.03.2005</t>
  </si>
  <si>
    <t>Субсидии на поддержку СМИ</t>
  </si>
  <si>
    <t>04-2617</t>
  </si>
  <si>
    <t>12 12 12</t>
  </si>
  <si>
    <t>01 02 04</t>
  </si>
  <si>
    <t>1610505050 16105S2050  1610502060</t>
  </si>
  <si>
    <t xml:space="preserve">1.Федеральный закон от 6.10.2003 №131-ФЗ «Об общих принципах организации местного самоуправления в Российской Федерации» 
Ст.17 п.1 пп.7
</t>
  </si>
  <si>
    <t>Исполнение судебных решений</t>
  </si>
  <si>
    <t xml:space="preserve">1610126000 1610226000               </t>
  </si>
  <si>
    <t>1.Федеральный закон от 6.10.2003 №131-ФЗ «Об общихпринципахорганизацииместного самоуправления в Российской Федерации» 
Ст.16 п.1 пп.3
2. Устав муниципального образования городского округа город Бор Нижегородской области(принят реш.Совета депутатов от 25.01.2011 №1)ст.10,п.2,
пп.3</t>
  </si>
  <si>
    <t>1610426000               1610126000</t>
  </si>
  <si>
    <t>Обеспечение детей-сирот жилыми помещениями</t>
  </si>
  <si>
    <t xml:space="preserve">1.Закон Нижегородской области «О наделении органов местного самоуправления муниципальных районов и городских округов Нижегородской области отдельными государственными полномочиями в области жилищных отношений» от 30.09.2008 №116-З
 ст.2п.1 пп.6
2.Федеральный закон от 21.12.1996 №159-ФЗ «О дополнительных гарантиях по социальной поддержке детей-сирот и детей,оставшихся без попечения родителей» 
Ст.8
3.Закон НО от 18.12.14г. №184-З»Об обл.бюджете на 2015ги на плановый 2016 и 2017гг», Приложение 23,табл.33,34
</t>
  </si>
  <si>
    <t>04-3136</t>
  </si>
  <si>
    <t>04203R0820</t>
  </si>
  <si>
    <t>13.11.2023</t>
  </si>
  <si>
    <r>
      <rPr>
        <b/>
        <sz val="14"/>
        <rFont val="Times New Roman"/>
        <family val="1"/>
        <charset val="204"/>
      </rPr>
      <t>П/пр. "Обеспечение жильем отдельных категорий граждан городского округа г.Бор"</t>
    </r>
    <r>
      <rPr>
        <sz val="14"/>
        <rFont val="Times New Roman"/>
        <family val="1"/>
        <charset val="204"/>
      </rPr>
      <t>, в т. ч.</t>
    </r>
    <r>
      <rPr>
        <b/>
        <sz val="14"/>
        <rFont val="Times New Roman"/>
        <family val="1"/>
        <charset val="204"/>
      </rPr>
      <t xml:space="preserve">  </t>
    </r>
    <r>
      <rPr>
        <sz val="14"/>
        <rFont val="Times New Roman"/>
        <family val="1"/>
        <charset val="204"/>
      </rPr>
      <t xml:space="preserve">субвенции на обеспечение жильем отдельных категорий граждан, установленных федеральными законами от 12 января 1995 года №5-ФЗ «О ветеранах» и от 24 ноября 1995 года №181-ФЗ «О социальной защите инвалидов в Российской Федерации» </t>
    </r>
  </si>
  <si>
    <r>
      <rPr>
        <b/>
        <sz val="14"/>
        <rFont val="Times New Roman"/>
        <family val="1"/>
        <charset val="204"/>
      </rPr>
      <t>П/пр. "Обеспечение жильем отдельных категорий граждан городского округа г.Бор"</t>
    </r>
    <r>
      <rPr>
        <sz val="14"/>
        <rFont val="Times New Roman"/>
        <family val="1"/>
        <charset val="204"/>
      </rPr>
      <t>, в т. ч. субвенции на обеспечение жильем в форме предоставления единовременной денежной выплаты на строительство или приобретение жилого помещения граждан, страдающих тяжелыми формами хронических заболеваний, перечень которых устанавливается уполномоченным Правительством Российской Федерации федеральным органом исполнительной власти</t>
    </r>
  </si>
  <si>
    <r>
      <rPr>
        <b/>
        <sz val="14"/>
        <rFont val="Times New Roman"/>
        <family val="1"/>
        <charset val="204"/>
      </rPr>
      <t xml:space="preserve">П/пр. "Обеспечение жильем отдельных категорий граждан городского округа г.Бор" </t>
    </r>
    <r>
      <rPr>
        <sz val="14"/>
        <rFont val="Times New Roman"/>
        <family val="1"/>
        <charset val="204"/>
      </rPr>
      <t>в т.ч.: субвенция на обеспечение жильем отдельных категорий граждан, установленных ФХ от 24.11.1995 № 181-ФЗ "О социальной защите инвалидов в РФ"</t>
    </r>
  </si>
  <si>
    <t>Ситниковский территориальный отдел Администрации городского округа город Бор Нижегородской области</t>
  </si>
  <si>
    <t>1.5.</t>
  </si>
  <si>
    <t>Мероприятия, направленные на проведение капитального и текущего ремонта объектов благоустройства</t>
  </si>
  <si>
    <t>Реализация мероприятий по проекту "Вам решать!"</t>
  </si>
  <si>
    <t>2.2.17</t>
  </si>
  <si>
    <t>2.2.18</t>
  </si>
  <si>
    <t>Расходы за счет средств из фонда на поддержку территории</t>
  </si>
  <si>
    <t>2.2.19</t>
  </si>
  <si>
    <t>2.Социальные выплаты гражданам, кроме публичных нормативных социальных выплат</t>
  </si>
</sst>
</file>

<file path=xl/styles.xml><?xml version="1.0" encoding="utf-8"?>
<styleSheet xmlns="http://schemas.openxmlformats.org/spreadsheetml/2006/main">
  <numFmts count="8">
    <numFmt numFmtId="164" formatCode="_-* #,##0.00_-;\-* #,##0.00_-;_-* &quot;-&quot;??_-;_-@_-"/>
    <numFmt numFmtId="165" formatCode="00"/>
    <numFmt numFmtId="166" formatCode="000"/>
    <numFmt numFmtId="167" formatCode="#,##0.0"/>
    <numFmt numFmtId="168" formatCode="dd/mm/yy;@"/>
    <numFmt numFmtId="169" formatCode="000000"/>
    <numFmt numFmtId="170" formatCode="0.0"/>
    <numFmt numFmtId="172" formatCode="[$-419]General"/>
  </numFmts>
  <fonts count="53">
    <font>
      <sz val="10"/>
      <name val="Arial CYR"/>
    </font>
    <font>
      <sz val="10"/>
      <name val="Arial CYR"/>
    </font>
    <font>
      <sz val="10"/>
      <name val="Helv"/>
    </font>
    <font>
      <sz val="8"/>
      <name val="Arial Cyr"/>
    </font>
    <font>
      <b/>
      <sz val="14"/>
      <name val="Times New Roman"/>
      <family val="1"/>
      <charset val="204"/>
    </font>
    <font>
      <sz val="10"/>
      <name val="Arial"/>
      <family val="2"/>
      <charset val="204"/>
    </font>
    <font>
      <sz val="12"/>
      <name val="Times New Roman"/>
      <family val="1"/>
      <charset val="204"/>
    </font>
    <font>
      <b/>
      <sz val="12"/>
      <name val="Times New Roman"/>
      <family val="1"/>
      <charset val="204"/>
    </font>
    <font>
      <sz val="12"/>
      <color indexed="8"/>
      <name val="Times New Roman"/>
      <family val="1"/>
      <charset val="204"/>
    </font>
    <font>
      <b/>
      <sz val="12"/>
      <color indexed="8"/>
      <name val="Times New Roman"/>
      <family val="1"/>
      <charset val="204"/>
    </font>
    <font>
      <sz val="12"/>
      <name val="Arial CYR"/>
    </font>
    <font>
      <sz val="12"/>
      <name val="Tahoma"/>
      <family val="2"/>
      <charset val="204"/>
    </font>
    <font>
      <sz val="10"/>
      <name val="Times New Roman"/>
      <family val="1"/>
      <charset val="204"/>
    </font>
    <font>
      <sz val="14"/>
      <name val="Times New Roman"/>
      <family val="1"/>
      <charset val="204"/>
    </font>
    <font>
      <b/>
      <sz val="12"/>
      <name val="Tahoma"/>
      <family val="2"/>
      <charset val="204"/>
    </font>
    <font>
      <sz val="9"/>
      <name val="Times New Roman"/>
      <family val="1"/>
      <charset val="204"/>
    </font>
    <font>
      <b/>
      <sz val="14"/>
      <color indexed="8"/>
      <name val="Times New Roman"/>
      <family val="1"/>
      <charset val="204"/>
    </font>
    <font>
      <sz val="14"/>
      <color indexed="23"/>
      <name val="Times New Roman"/>
      <family val="1"/>
      <charset val="204"/>
    </font>
    <font>
      <sz val="14"/>
      <color indexed="8"/>
      <name val="Times New Roman"/>
      <family val="1"/>
      <charset val="204"/>
    </font>
    <font>
      <sz val="11"/>
      <name val="Times New Roman"/>
      <family val="1"/>
      <charset val="204"/>
    </font>
    <font>
      <b/>
      <sz val="10"/>
      <name val="Times New Roman"/>
      <family val="1"/>
      <charset val="204"/>
    </font>
    <font>
      <b/>
      <sz val="11"/>
      <name val="Times New Roman"/>
      <family val="1"/>
      <charset val="204"/>
    </font>
    <font>
      <sz val="10"/>
      <name val="Arial Cyr"/>
      <charset val="204"/>
    </font>
    <font>
      <b/>
      <sz val="14"/>
      <color indexed="23"/>
      <name val="Times New Roman"/>
      <family val="1"/>
      <charset val="204"/>
    </font>
    <font>
      <sz val="14"/>
      <color theme="1"/>
      <name val="Times New Roman"/>
      <family val="1"/>
      <charset val="204"/>
    </font>
    <font>
      <sz val="14"/>
      <name val="Tahoma"/>
      <family val="2"/>
      <charset val="204"/>
    </font>
    <font>
      <sz val="10"/>
      <color theme="1"/>
      <name val="Times New Roman"/>
      <family val="1"/>
      <charset val="204"/>
    </font>
    <font>
      <sz val="14"/>
      <color rgb="FFFF0000"/>
      <name val="Times New Roman"/>
      <family val="1"/>
      <charset val="204"/>
    </font>
    <font>
      <sz val="10"/>
      <color indexed="8"/>
      <name val="Times New Roman"/>
      <family val="1"/>
      <charset val="204"/>
    </font>
    <font>
      <sz val="8"/>
      <name val="Times New Roman"/>
      <family val="1"/>
      <charset val="204"/>
    </font>
    <font>
      <b/>
      <i/>
      <sz val="14"/>
      <name val="Times New Roman"/>
      <family val="1"/>
      <charset val="204"/>
    </font>
    <font>
      <i/>
      <sz val="14"/>
      <name val="Times New Roman"/>
      <family val="1"/>
      <charset val="204"/>
    </font>
    <font>
      <sz val="14"/>
      <name val="TimesDL"/>
    </font>
    <font>
      <sz val="14"/>
      <color indexed="9"/>
      <name val="Times New Roman"/>
      <family val="1"/>
      <charset val="204"/>
    </font>
    <font>
      <sz val="13"/>
      <color theme="1"/>
      <name val="Times New Roman"/>
      <family val="1"/>
      <charset val="204"/>
    </font>
    <font>
      <b/>
      <sz val="13"/>
      <color theme="1"/>
      <name val="Times New Roman"/>
      <family val="1"/>
      <charset val="204"/>
    </font>
    <font>
      <b/>
      <sz val="14"/>
      <color rgb="FFFF0000"/>
      <name val="Times New Roman"/>
      <family val="1"/>
      <charset val="204"/>
    </font>
    <font>
      <sz val="10"/>
      <color indexed="8"/>
      <name val="Arial CYR"/>
    </font>
    <font>
      <sz val="14"/>
      <name val="Arial CYR"/>
    </font>
    <font>
      <b/>
      <u/>
      <sz val="9"/>
      <name val="Times New Roman"/>
      <family val="1"/>
      <charset val="204"/>
    </font>
    <font>
      <u/>
      <sz val="9"/>
      <name val="Times New Roman"/>
      <family val="1"/>
      <charset val="204"/>
    </font>
    <font>
      <sz val="9"/>
      <name val="Tahoma"/>
      <family val="2"/>
      <charset val="204"/>
    </font>
    <font>
      <u/>
      <sz val="10"/>
      <name val="Times New Roman"/>
      <family val="1"/>
      <charset val="204"/>
    </font>
    <font>
      <b/>
      <u/>
      <sz val="10"/>
      <name val="Times New Roman"/>
      <family val="1"/>
      <charset val="204"/>
    </font>
    <font>
      <sz val="9"/>
      <color indexed="8"/>
      <name val="Times New Roman"/>
      <family val="1"/>
      <charset val="204"/>
    </font>
    <font>
      <b/>
      <sz val="14"/>
      <color theme="1"/>
      <name val="Times New Roman"/>
      <family val="1"/>
      <charset val="204"/>
    </font>
    <font>
      <b/>
      <sz val="14"/>
      <name val="Tahoma"/>
      <family val="2"/>
      <charset val="204"/>
    </font>
    <font>
      <sz val="14"/>
      <color rgb="FF000000"/>
      <name val="Times New Roman"/>
      <family val="1"/>
      <charset val="204"/>
    </font>
    <font>
      <b/>
      <sz val="13"/>
      <color theme="1"/>
      <name val="Tahoma"/>
      <family val="2"/>
      <charset val="204"/>
    </font>
    <font>
      <sz val="8"/>
      <color theme="1"/>
      <name val="Times New Roman"/>
      <family val="1"/>
      <charset val="204"/>
    </font>
    <font>
      <sz val="9"/>
      <color theme="1"/>
      <name val="Times New Roman"/>
      <family val="1"/>
      <charset val="204"/>
    </font>
    <font>
      <b/>
      <sz val="9"/>
      <color theme="1"/>
      <name val="Times New Roman"/>
      <family val="1"/>
      <charset val="204"/>
    </font>
    <font>
      <sz val="12"/>
      <color theme="1"/>
      <name val="Tahoma"/>
      <family val="2"/>
      <charset val="204"/>
    </font>
  </fonts>
  <fills count="8">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s>
  <borders count="15">
    <border>
      <left/>
      <right/>
      <top/>
      <bottom/>
      <diagonal/>
    </border>
    <border>
      <left/>
      <right/>
      <top style="thin">
        <color indexed="22"/>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8">
    <xf numFmtId="0" fontId="0" fillId="0" borderId="0"/>
    <xf numFmtId="0" fontId="5" fillId="0" borderId="0"/>
    <xf numFmtId="0" fontId="2" fillId="0" borderId="0"/>
    <xf numFmtId="164" fontId="1" fillId="0" borderId="0" applyFont="0" applyFill="0" applyBorder="0" applyAlignment="0" applyProtection="0"/>
    <xf numFmtId="0" fontId="1" fillId="0" borderId="0" applyFont="0" applyFill="0" applyBorder="0" applyAlignment="0" applyProtection="0"/>
    <xf numFmtId="0" fontId="22" fillId="0" borderId="0"/>
    <xf numFmtId="0" fontId="5" fillId="0" borderId="0"/>
    <xf numFmtId="172" fontId="37" fillId="0" borderId="0" applyBorder="0" applyProtection="0"/>
  </cellStyleXfs>
  <cellXfs count="775">
    <xf numFmtId="0" fontId="0" fillId="0" borderId="0" xfId="0"/>
    <xf numFmtId="0" fontId="6" fillId="0" borderId="2" xfId="0" applyFont="1" applyFill="1" applyBorder="1" applyAlignment="1">
      <alignment wrapText="1"/>
    </xf>
    <xf numFmtId="0" fontId="11" fillId="0" borderId="0" xfId="0" applyFont="1"/>
    <xf numFmtId="0" fontId="14" fillId="0" borderId="0" xfId="0" applyFont="1" applyAlignment="1">
      <alignment vertical="center"/>
    </xf>
    <xf numFmtId="0" fontId="11" fillId="0" borderId="0" xfId="0" applyFont="1" applyFill="1"/>
    <xf numFmtId="0" fontId="11" fillId="0" borderId="0" xfId="0" applyFont="1" applyFill="1" applyAlignment="1">
      <alignment vertical="center"/>
    </xf>
    <xf numFmtId="0" fontId="4" fillId="3" borderId="2"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49" fontId="4" fillId="7" borderId="3" xfId="0" applyNumberFormat="1" applyFont="1" applyFill="1" applyBorder="1" applyAlignment="1">
      <alignment horizontal="left" vertical="center"/>
    </xf>
    <xf numFmtId="167" fontId="4" fillId="3" borderId="2" xfId="3" applyNumberFormat="1" applyFont="1" applyFill="1" applyBorder="1" applyAlignment="1">
      <alignment horizontal="right" vertical="top" wrapText="1"/>
    </xf>
    <xf numFmtId="167" fontId="13" fillId="0" borderId="0" xfId="3" applyNumberFormat="1" applyFont="1" applyFill="1" applyBorder="1" applyAlignment="1">
      <alignment horizontal="right" vertical="top"/>
    </xf>
    <xf numFmtId="49" fontId="4" fillId="3" borderId="3" xfId="0" applyNumberFormat="1" applyFont="1" applyFill="1" applyBorder="1" applyAlignment="1">
      <alignment horizontal="left" vertical="top" wrapText="1"/>
    </xf>
    <xf numFmtId="0" fontId="14" fillId="0" borderId="0" xfId="0" applyFont="1" applyFill="1" applyAlignment="1">
      <alignment vertical="center"/>
    </xf>
    <xf numFmtId="14" fontId="17" fillId="0" borderId="2" xfId="0" applyNumberFormat="1" applyFont="1" applyFill="1" applyBorder="1" applyAlignment="1">
      <alignment horizontal="center" vertical="top" wrapText="1"/>
    </xf>
    <xf numFmtId="0" fontId="17" fillId="0" borderId="2" xfId="0" applyFont="1" applyFill="1" applyBorder="1" applyAlignment="1">
      <alignment horizontal="center" vertical="top"/>
    </xf>
    <xf numFmtId="49" fontId="17" fillId="0" borderId="2" xfId="0" applyNumberFormat="1" applyFont="1" applyFill="1" applyBorder="1" applyAlignment="1">
      <alignment horizontal="center" vertical="top" wrapText="1"/>
    </xf>
    <xf numFmtId="0" fontId="13" fillId="0" borderId="0" xfId="0" applyNumberFormat="1" applyFont="1" applyAlignment="1">
      <alignment horizontal="center" vertical="top" wrapText="1"/>
    </xf>
    <xf numFmtId="0" fontId="11" fillId="0" borderId="0" xfId="0" applyFont="1" applyAlignment="1">
      <alignment vertical="center"/>
    </xf>
    <xf numFmtId="167" fontId="4" fillId="3" borderId="2" xfId="3" applyNumberFormat="1" applyFont="1" applyFill="1" applyBorder="1" applyAlignment="1">
      <alignment horizontal="right" vertical="center" wrapText="1"/>
    </xf>
    <xf numFmtId="167" fontId="4" fillId="7" borderId="2" xfId="3" applyNumberFormat="1" applyFont="1" applyFill="1" applyBorder="1" applyAlignment="1">
      <alignment horizontal="right" vertical="center"/>
    </xf>
    <xf numFmtId="0" fontId="16" fillId="0" borderId="3" xfId="0" applyNumberFormat="1" applyFont="1" applyFill="1" applyBorder="1" applyAlignment="1">
      <alignment horizontal="left" vertical="top"/>
    </xf>
    <xf numFmtId="167" fontId="4" fillId="0" borderId="2" xfId="3" applyNumberFormat="1" applyFont="1" applyFill="1" applyBorder="1" applyAlignment="1">
      <alignment horizontal="right" vertical="top"/>
    </xf>
    <xf numFmtId="167" fontId="4" fillId="0" borderId="4" xfId="3" applyNumberFormat="1" applyFont="1" applyFill="1" applyBorder="1" applyAlignment="1">
      <alignment horizontal="right" vertical="top"/>
    </xf>
    <xf numFmtId="49" fontId="13" fillId="0" borderId="3" xfId="0" applyNumberFormat="1" applyFont="1" applyFill="1" applyBorder="1" applyAlignment="1">
      <alignment horizontal="left" vertical="top"/>
    </xf>
    <xf numFmtId="167" fontId="13" fillId="0" borderId="2" xfId="3" applyNumberFormat="1" applyFont="1" applyFill="1" applyBorder="1" applyAlignment="1">
      <alignment horizontal="right" vertical="top"/>
    </xf>
    <xf numFmtId="167" fontId="13" fillId="0" borderId="4" xfId="3" applyNumberFormat="1" applyFont="1" applyFill="1" applyBorder="1" applyAlignment="1">
      <alignment horizontal="right" vertical="top"/>
    </xf>
    <xf numFmtId="0" fontId="17" fillId="0" borderId="2" xfId="0" applyFont="1" applyFill="1" applyBorder="1" applyAlignment="1">
      <alignment horizontal="center" vertical="top" wrapText="1"/>
    </xf>
    <xf numFmtId="167" fontId="4" fillId="0" borderId="2" xfId="0" applyNumberFormat="1" applyFont="1" applyFill="1" applyBorder="1" applyAlignment="1">
      <alignment horizontal="right" vertical="top" wrapText="1"/>
    </xf>
    <xf numFmtId="0" fontId="13" fillId="0" borderId="2" xfId="0" applyFont="1" applyFill="1" applyBorder="1" applyAlignment="1">
      <alignment wrapText="1"/>
    </xf>
    <xf numFmtId="0" fontId="13" fillId="0" borderId="2" xfId="0" applyFont="1" applyFill="1" applyBorder="1" applyAlignment="1">
      <alignment horizontal="justify" vertical="top" wrapText="1"/>
    </xf>
    <xf numFmtId="14" fontId="23" fillId="0" borderId="2" xfId="0" applyNumberFormat="1" applyFont="1" applyFill="1" applyBorder="1" applyAlignment="1">
      <alignment horizontal="center" vertical="top"/>
    </xf>
    <xf numFmtId="14" fontId="23" fillId="0" borderId="2" xfId="0" applyNumberFormat="1" applyFont="1" applyFill="1" applyBorder="1" applyAlignment="1">
      <alignment horizontal="center" vertical="top" wrapText="1"/>
    </xf>
    <xf numFmtId="0" fontId="23" fillId="0" borderId="2" xfId="0" applyFont="1" applyFill="1" applyBorder="1" applyAlignment="1">
      <alignment horizontal="center" vertical="top"/>
    </xf>
    <xf numFmtId="0" fontId="12" fillId="0" borderId="2" xfId="0" applyFont="1" applyFill="1" applyBorder="1" applyAlignment="1">
      <alignment vertical="top" wrapText="1"/>
    </xf>
    <xf numFmtId="167" fontId="13" fillId="5" borderId="2" xfId="3" applyNumberFormat="1" applyFont="1" applyFill="1" applyBorder="1" applyAlignment="1">
      <alignment horizontal="right" vertical="top"/>
    </xf>
    <xf numFmtId="14" fontId="13" fillId="0" borderId="2" xfId="0" applyNumberFormat="1" applyFont="1" applyFill="1" applyBorder="1" applyAlignment="1">
      <alignment horizontal="center" vertical="center" wrapText="1"/>
    </xf>
    <xf numFmtId="167" fontId="13" fillId="0" borderId="2" xfId="3" applyNumberFormat="1" applyFont="1" applyFill="1" applyBorder="1" applyAlignment="1">
      <alignment horizontal="right" vertical="center"/>
    </xf>
    <xf numFmtId="0" fontId="18" fillId="0" borderId="2" xfId="0" applyNumberFormat="1" applyFont="1" applyFill="1" applyBorder="1" applyAlignment="1">
      <alignment horizontal="left" vertical="top" wrapText="1"/>
    </xf>
    <xf numFmtId="14" fontId="18" fillId="0" borderId="2" xfId="0" applyNumberFormat="1" applyFont="1" applyFill="1" applyBorder="1" applyAlignment="1">
      <alignment horizontal="center" vertical="top"/>
    </xf>
    <xf numFmtId="0" fontId="18" fillId="0" borderId="2" xfId="0" applyNumberFormat="1" applyFont="1" applyFill="1" applyBorder="1" applyAlignment="1">
      <alignment horizontal="center" vertical="top" wrapText="1"/>
    </xf>
    <xf numFmtId="14" fontId="13" fillId="0" borderId="2" xfId="0" applyNumberFormat="1" applyFont="1" applyFill="1" applyBorder="1" applyAlignment="1">
      <alignment horizontal="center" vertical="top"/>
    </xf>
    <xf numFmtId="14" fontId="11" fillId="0" borderId="2" xfId="0" applyNumberFormat="1" applyFont="1" applyBorder="1" applyAlignment="1">
      <alignment horizontal="left" vertical="top"/>
    </xf>
    <xf numFmtId="0" fontId="6" fillId="5" borderId="2" xfId="0" applyNumberFormat="1" applyFont="1" applyFill="1" applyBorder="1" applyAlignment="1">
      <alignment horizontal="left" vertical="top" wrapText="1"/>
    </xf>
    <xf numFmtId="49" fontId="6" fillId="5" borderId="2" xfId="0" applyNumberFormat="1" applyFont="1" applyFill="1" applyBorder="1" applyAlignment="1">
      <alignment horizontal="center" vertical="top" wrapText="1"/>
    </xf>
    <xf numFmtId="0" fontId="6" fillId="5" borderId="2" xfId="0" applyFont="1" applyFill="1" applyBorder="1" applyAlignment="1">
      <alignment wrapText="1"/>
    </xf>
    <xf numFmtId="14" fontId="11" fillId="5" borderId="2" xfId="0" applyNumberFormat="1" applyFont="1" applyFill="1" applyBorder="1" applyAlignment="1">
      <alignment horizontal="left" vertical="top"/>
    </xf>
    <xf numFmtId="0" fontId="11" fillId="0" borderId="1" xfId="0" applyFont="1" applyBorder="1"/>
    <xf numFmtId="49" fontId="24" fillId="0" borderId="2" xfId="0" applyNumberFormat="1" applyFont="1" applyFill="1" applyBorder="1" applyAlignment="1">
      <alignment horizontal="center" vertical="top" wrapText="1"/>
    </xf>
    <xf numFmtId="49" fontId="4" fillId="4" borderId="2" xfId="0" applyNumberFormat="1" applyFont="1" applyFill="1" applyBorder="1" applyAlignment="1">
      <alignment horizontal="center" vertical="center" wrapText="1"/>
    </xf>
    <xf numFmtId="167" fontId="4" fillId="4" borderId="2" xfId="3" applyNumberFormat="1" applyFont="1" applyFill="1" applyBorder="1" applyAlignment="1">
      <alignment horizontal="right" vertical="center" wrapText="1"/>
    </xf>
    <xf numFmtId="167" fontId="27" fillId="0" borderId="2" xfId="3" applyNumberFormat="1" applyFont="1" applyFill="1" applyBorder="1" applyAlignment="1">
      <alignment horizontal="right" vertical="top"/>
    </xf>
    <xf numFmtId="14" fontId="13" fillId="0" borderId="2" xfId="0" applyNumberFormat="1" applyFont="1" applyFill="1" applyBorder="1" applyAlignment="1">
      <alignment vertical="top"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top"/>
    </xf>
    <xf numFmtId="0" fontId="4" fillId="0" borderId="2" xfId="0" applyFont="1" applyFill="1" applyBorder="1" applyAlignment="1">
      <alignment horizontal="center" vertical="top" wrapText="1"/>
    </xf>
    <xf numFmtId="0" fontId="13" fillId="0" borderId="2" xfId="0" applyFont="1" applyFill="1" applyBorder="1" applyAlignment="1">
      <alignment vertical="center" wrapText="1"/>
    </xf>
    <xf numFmtId="0" fontId="13" fillId="0" borderId="2" xfId="0" applyNumberFormat="1" applyFont="1" applyFill="1" applyBorder="1" applyAlignment="1">
      <alignment horizontal="left" vertical="center" wrapText="1"/>
    </xf>
    <xf numFmtId="167" fontId="13" fillId="0" borderId="2" xfId="0" applyNumberFormat="1" applyFont="1" applyFill="1" applyBorder="1" applyAlignment="1">
      <alignment horizontal="center" vertical="top" wrapText="1"/>
    </xf>
    <xf numFmtId="167" fontId="31" fillId="0" borderId="2" xfId="3" applyNumberFormat="1" applyFont="1" applyFill="1" applyBorder="1" applyAlignment="1">
      <alignment horizontal="right" vertical="top"/>
    </xf>
    <xf numFmtId="0" fontId="29" fillId="0" borderId="2" xfId="0" applyFont="1" applyFill="1" applyBorder="1" applyAlignment="1">
      <alignment horizontal="left" vertical="top" wrapText="1"/>
    </xf>
    <xf numFmtId="0" fontId="13" fillId="0" borderId="2" xfId="0" applyFont="1" applyFill="1" applyBorder="1" applyAlignment="1">
      <alignment vertical="top" wrapText="1"/>
    </xf>
    <xf numFmtId="14" fontId="13" fillId="5" borderId="2" xfId="0" applyNumberFormat="1" applyFont="1" applyFill="1" applyBorder="1" applyAlignment="1">
      <alignment horizontal="center" vertical="top" wrapText="1"/>
    </xf>
    <xf numFmtId="0" fontId="13" fillId="5" borderId="2" xfId="0" applyFont="1" applyFill="1" applyBorder="1" applyAlignment="1">
      <alignment horizontal="center" vertical="top" wrapText="1"/>
    </xf>
    <xf numFmtId="167" fontId="6" fillId="0" borderId="2" xfId="3" applyNumberFormat="1" applyFont="1" applyFill="1" applyBorder="1" applyAlignment="1">
      <alignment horizontal="right" vertical="top"/>
    </xf>
    <xf numFmtId="167" fontId="13" fillId="5" borderId="2" xfId="3" applyNumberFormat="1" applyFont="1" applyFill="1" applyBorder="1" applyAlignment="1">
      <alignment horizontal="right" vertical="center"/>
    </xf>
    <xf numFmtId="167" fontId="17" fillId="0" borderId="2" xfId="0" applyNumberFormat="1" applyFont="1" applyFill="1" applyBorder="1" applyAlignment="1">
      <alignment horizontal="center" vertical="top" wrapText="1"/>
    </xf>
    <xf numFmtId="167" fontId="30" fillId="0" borderId="2" xfId="3" applyNumberFormat="1" applyFont="1" applyFill="1" applyBorder="1" applyAlignment="1">
      <alignment horizontal="right" vertical="top"/>
    </xf>
    <xf numFmtId="167" fontId="30" fillId="5" borderId="2" xfId="3" applyNumberFormat="1" applyFont="1" applyFill="1" applyBorder="1" applyAlignment="1">
      <alignment horizontal="right" vertical="top"/>
    </xf>
    <xf numFmtId="167" fontId="13" fillId="0" borderId="2" xfId="0" applyNumberFormat="1" applyFont="1" applyFill="1" applyBorder="1" applyAlignment="1">
      <alignment horizontal="right" vertical="top" wrapText="1"/>
    </xf>
    <xf numFmtId="0" fontId="29" fillId="0" borderId="2" xfId="0" applyFont="1" applyFill="1" applyBorder="1" applyAlignment="1">
      <alignment horizontal="center" vertical="top" wrapText="1"/>
    </xf>
    <xf numFmtId="14" fontId="15" fillId="0" borderId="2" xfId="0" applyNumberFormat="1" applyFont="1" applyFill="1" applyBorder="1" applyAlignment="1">
      <alignment horizontal="center" vertical="top" wrapText="1"/>
    </xf>
    <xf numFmtId="14" fontId="12" fillId="0" borderId="2" xfId="0" applyNumberFormat="1" applyFont="1" applyFill="1" applyBorder="1" applyAlignment="1">
      <alignment horizontal="center" vertical="top" wrapText="1"/>
    </xf>
    <xf numFmtId="49" fontId="18" fillId="0" borderId="2" xfId="0" applyNumberFormat="1" applyFont="1" applyFill="1" applyBorder="1" applyAlignment="1">
      <alignment horizontal="center" vertical="top"/>
    </xf>
    <xf numFmtId="49" fontId="18" fillId="0" borderId="2" xfId="0" applyNumberFormat="1" applyFont="1" applyFill="1" applyBorder="1" applyAlignment="1">
      <alignment horizontal="left" vertical="top" wrapText="1"/>
    </xf>
    <xf numFmtId="14" fontId="17" fillId="0" borderId="2" xfId="0" applyNumberFormat="1" applyFont="1" applyBorder="1" applyAlignment="1">
      <alignment horizontal="center" vertical="top" wrapText="1"/>
    </xf>
    <xf numFmtId="14" fontId="17" fillId="0" borderId="2" xfId="0" applyNumberFormat="1" applyFont="1" applyBorder="1" applyAlignment="1">
      <alignment horizontal="center" vertical="top"/>
    </xf>
    <xf numFmtId="4" fontId="13" fillId="0" borderId="2" xfId="3" applyNumberFormat="1" applyFont="1" applyFill="1" applyBorder="1" applyAlignment="1">
      <alignment horizontal="right" vertical="top"/>
    </xf>
    <xf numFmtId="167" fontId="4" fillId="0" borderId="2" xfId="0" applyNumberFormat="1" applyFont="1" applyBorder="1" applyAlignment="1">
      <alignment horizontal="right" vertical="top" wrapText="1"/>
    </xf>
    <xf numFmtId="167" fontId="24" fillId="0" borderId="2" xfId="3" applyNumberFormat="1" applyFont="1" applyFill="1" applyBorder="1" applyAlignment="1">
      <alignment horizontal="right" vertical="top"/>
    </xf>
    <xf numFmtId="49" fontId="18" fillId="0" borderId="2" xfId="0" applyNumberFormat="1" applyFont="1" applyFill="1" applyBorder="1" applyAlignment="1">
      <alignment horizontal="center" vertical="top" wrapText="1"/>
    </xf>
    <xf numFmtId="0" fontId="23" fillId="0" borderId="2" xfId="0"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4" fillId="0" borderId="2" xfId="0" applyNumberFormat="1" applyFont="1" applyFill="1" applyBorder="1" applyAlignment="1">
      <alignment horizontal="center" vertical="top"/>
    </xf>
    <xf numFmtId="49" fontId="13" fillId="0" borderId="2" xfId="0" applyNumberFormat="1" applyFont="1" applyFill="1" applyBorder="1" applyAlignment="1">
      <alignment horizontal="center" vertical="center"/>
    </xf>
    <xf numFmtId="0" fontId="17"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167" fontId="13" fillId="5" borderId="2" xfId="3" applyNumberFormat="1" applyFont="1" applyFill="1" applyBorder="1" applyAlignment="1">
      <alignment horizontal="center" vertical="center"/>
    </xf>
    <xf numFmtId="0" fontId="24" fillId="0" borderId="2" xfId="0" applyFont="1" applyFill="1" applyBorder="1" applyAlignment="1">
      <alignment horizontal="center" vertical="center" wrapText="1"/>
    </xf>
    <xf numFmtId="14" fontId="24" fillId="0" borderId="2" xfId="0" applyNumberFormat="1" applyFont="1" applyFill="1" applyBorder="1" applyAlignment="1">
      <alignment horizontal="left" vertical="top"/>
    </xf>
    <xf numFmtId="167" fontId="13" fillId="0" borderId="2" xfId="3" applyNumberFormat="1" applyFont="1" applyFill="1" applyBorder="1" applyAlignment="1">
      <alignment horizontal="center" vertical="center"/>
    </xf>
    <xf numFmtId="14" fontId="23" fillId="0" borderId="2" xfId="0" applyNumberFormat="1" applyFont="1" applyFill="1" applyBorder="1" applyAlignment="1">
      <alignment horizontal="center" vertical="center" wrapText="1"/>
    </xf>
    <xf numFmtId="0" fontId="25" fillId="0" borderId="0" xfId="0" applyFont="1" applyFill="1"/>
    <xf numFmtId="49" fontId="13" fillId="5" borderId="2" xfId="0" applyNumberFormat="1" applyFont="1" applyFill="1" applyBorder="1" applyAlignment="1">
      <alignment horizontal="center" vertical="top" wrapText="1"/>
    </xf>
    <xf numFmtId="0" fontId="13" fillId="5" borderId="2" xfId="0" applyNumberFormat="1" applyFont="1" applyFill="1" applyBorder="1" applyAlignment="1">
      <alignment horizontal="center" vertical="top" wrapText="1"/>
    </xf>
    <xf numFmtId="167" fontId="4" fillId="0" borderId="2" xfId="3" applyNumberFormat="1" applyFont="1" applyFill="1" applyBorder="1" applyAlignment="1">
      <alignment horizontal="center" vertical="center"/>
    </xf>
    <xf numFmtId="167" fontId="4" fillId="0" borderId="2" xfId="0" applyNumberFormat="1" applyFont="1" applyFill="1" applyBorder="1" applyAlignment="1">
      <alignment horizontal="center" vertical="center" wrapText="1"/>
    </xf>
    <xf numFmtId="49" fontId="34" fillId="0" borderId="2" xfId="0" applyNumberFormat="1" applyFont="1" applyFill="1" applyBorder="1" applyAlignment="1">
      <alignment horizontal="center" vertical="top" wrapText="1"/>
    </xf>
    <xf numFmtId="0" fontId="35" fillId="3" borderId="2" xfId="0" applyNumberFormat="1" applyFont="1" applyFill="1" applyBorder="1" applyAlignment="1">
      <alignment horizontal="left" vertical="top" wrapText="1"/>
    </xf>
    <xf numFmtId="14" fontId="6" fillId="0" borderId="2" xfId="0" applyNumberFormat="1" applyFont="1" applyFill="1" applyBorder="1" applyAlignment="1">
      <alignment horizontal="left" vertical="top" wrapText="1"/>
    </xf>
    <xf numFmtId="0" fontId="12" fillId="0" borderId="2" xfId="0" applyFont="1" applyFill="1" applyBorder="1" applyAlignment="1">
      <alignment horizontal="center" vertical="top" wrapText="1"/>
    </xf>
    <xf numFmtId="0" fontId="26" fillId="0" borderId="2" xfId="0" applyFont="1" applyFill="1" applyBorder="1" applyAlignment="1">
      <alignment horizontal="center" vertical="top" wrapText="1"/>
    </xf>
    <xf numFmtId="0" fontId="24" fillId="0" borderId="2" xfId="0" applyFont="1" applyFill="1" applyBorder="1" applyAlignment="1">
      <alignment horizontal="center" vertical="top" wrapText="1"/>
    </xf>
    <xf numFmtId="49" fontId="13" fillId="0" borderId="2" xfId="0" applyNumberFormat="1" applyFont="1" applyFill="1" applyBorder="1" applyAlignment="1">
      <alignment vertical="top" wrapText="1"/>
    </xf>
    <xf numFmtId="0" fontId="15" fillId="0" borderId="2" xfId="0" applyFont="1" applyFill="1" applyBorder="1" applyAlignment="1">
      <alignment horizontal="left" vertical="top" wrapText="1"/>
    </xf>
    <xf numFmtId="0" fontId="15" fillId="0" borderId="2" xfId="0" applyFont="1" applyFill="1" applyBorder="1" applyAlignment="1">
      <alignment horizontal="left" vertical="top"/>
    </xf>
    <xf numFmtId="14" fontId="12" fillId="0" borderId="2" xfId="0" applyNumberFormat="1" applyFont="1" applyFill="1" applyBorder="1" applyAlignment="1">
      <alignment horizontal="left" vertical="top" wrapText="1"/>
    </xf>
    <xf numFmtId="49" fontId="13" fillId="0" borderId="2" xfId="0" applyNumberFormat="1" applyFont="1" applyFill="1" applyBorder="1" applyAlignment="1">
      <alignment horizontal="left" vertical="top" wrapText="1"/>
    </xf>
    <xf numFmtId="49" fontId="6" fillId="0" borderId="2" xfId="0" applyNumberFormat="1" applyFont="1" applyFill="1" applyBorder="1" applyAlignment="1">
      <alignment horizontal="center" vertical="top" wrapText="1"/>
    </xf>
    <xf numFmtId="0" fontId="15" fillId="0" borderId="2" xfId="0" applyFont="1" applyFill="1" applyBorder="1" applyAlignment="1">
      <alignment vertical="top" wrapText="1"/>
    </xf>
    <xf numFmtId="0" fontId="4" fillId="0" borderId="2" xfId="0" applyNumberFormat="1" applyFont="1" applyFill="1" applyBorder="1" applyAlignment="1">
      <alignment horizontal="left" vertical="center" wrapText="1"/>
    </xf>
    <xf numFmtId="0" fontId="13" fillId="0" borderId="2" xfId="0" applyFont="1" applyFill="1" applyBorder="1" applyAlignment="1">
      <alignment horizontal="center" vertical="top"/>
    </xf>
    <xf numFmtId="49" fontId="6" fillId="0" borderId="11" xfId="0" applyNumberFormat="1" applyFont="1" applyFill="1" applyBorder="1" applyAlignment="1">
      <alignment horizontal="center" vertical="top" wrapText="1"/>
    </xf>
    <xf numFmtId="0" fontId="6" fillId="0" borderId="2" xfId="0" applyFont="1" applyBorder="1" applyAlignment="1">
      <alignment wrapText="1"/>
    </xf>
    <xf numFmtId="14" fontId="13" fillId="0" borderId="2" xfId="0" applyNumberFormat="1" applyFont="1" applyFill="1" applyBorder="1" applyAlignment="1">
      <alignment horizontal="center" vertical="center"/>
    </xf>
    <xf numFmtId="14" fontId="17" fillId="0" borderId="2" xfId="0" applyNumberFormat="1" applyFont="1" applyFill="1" applyBorder="1" applyAlignment="1">
      <alignment horizontal="center" vertical="top"/>
    </xf>
    <xf numFmtId="0" fontId="13" fillId="0" borderId="2" xfId="0" applyFont="1" applyFill="1" applyBorder="1" applyAlignment="1">
      <alignment horizontal="center" vertical="center"/>
    </xf>
    <xf numFmtId="0" fontId="13" fillId="0" borderId="2" xfId="0" applyFont="1" applyBorder="1" applyAlignment="1">
      <alignment horizontal="center" vertical="center" wrapText="1"/>
    </xf>
    <xf numFmtId="14" fontId="17" fillId="0" borderId="2" xfId="0" applyNumberFormat="1" applyFont="1" applyFill="1" applyBorder="1" applyAlignment="1">
      <alignment horizontal="center" vertical="center"/>
    </xf>
    <xf numFmtId="49" fontId="13"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top" wrapText="1"/>
    </xf>
    <xf numFmtId="0" fontId="13" fillId="0" borderId="2" xfId="0" applyFont="1" applyFill="1" applyBorder="1" applyAlignment="1">
      <alignment horizontal="left" vertical="top" wrapText="1"/>
    </xf>
    <xf numFmtId="0" fontId="13" fillId="0" borderId="2" xfId="0" applyNumberFormat="1" applyFont="1" applyFill="1" applyBorder="1" applyAlignment="1">
      <alignment horizontal="left" vertical="top" wrapText="1"/>
    </xf>
    <xf numFmtId="14" fontId="13" fillId="0" borderId="2" xfId="0" applyNumberFormat="1" applyFont="1" applyFill="1" applyBorder="1" applyAlignment="1">
      <alignment horizontal="left" vertical="top" wrapText="1"/>
    </xf>
    <xf numFmtId="0" fontId="13" fillId="0" borderId="2" xfId="0" applyFont="1" applyFill="1" applyBorder="1" applyAlignment="1">
      <alignment horizontal="center" vertical="top" wrapText="1"/>
    </xf>
    <xf numFmtId="49" fontId="13" fillId="0" borderId="2" xfId="0" applyNumberFormat="1" applyFont="1" applyFill="1" applyBorder="1" applyAlignment="1">
      <alignment horizontal="center" vertical="top" wrapText="1"/>
    </xf>
    <xf numFmtId="0" fontId="7" fillId="0" borderId="2" xfId="0" applyNumberFormat="1" applyFont="1" applyFill="1" applyBorder="1" applyAlignment="1">
      <alignment horizontal="left" vertical="top" wrapText="1"/>
    </xf>
    <xf numFmtId="14" fontId="17"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top" wrapText="1"/>
    </xf>
    <xf numFmtId="167" fontId="24" fillId="5" borderId="2" xfId="3" applyNumberFormat="1" applyFont="1" applyFill="1" applyBorder="1" applyAlignment="1">
      <alignment horizontal="right" vertical="top"/>
    </xf>
    <xf numFmtId="167" fontId="13" fillId="0" borderId="4" xfId="3" applyNumberFormat="1" applyFont="1" applyFill="1" applyBorder="1" applyAlignment="1">
      <alignment horizontal="right" vertical="center"/>
    </xf>
    <xf numFmtId="49" fontId="4" fillId="0" borderId="3" xfId="0" applyNumberFormat="1" applyFont="1" applyFill="1" applyBorder="1" applyAlignment="1">
      <alignment horizontal="left" vertical="top"/>
    </xf>
    <xf numFmtId="0" fontId="4" fillId="0" borderId="2" xfId="0" applyNumberFormat="1" applyFont="1" applyFill="1" applyBorder="1" applyAlignment="1">
      <alignment horizontal="left" vertical="top"/>
    </xf>
    <xf numFmtId="14" fontId="4" fillId="0" borderId="2" xfId="0" applyNumberFormat="1" applyFont="1" applyFill="1" applyBorder="1" applyAlignment="1">
      <alignment horizontal="center" vertical="top"/>
    </xf>
    <xf numFmtId="14" fontId="4" fillId="0" borderId="2" xfId="0" applyNumberFormat="1" applyFont="1" applyFill="1" applyBorder="1" applyAlignment="1">
      <alignment horizontal="center" vertical="top" wrapText="1"/>
    </xf>
    <xf numFmtId="0" fontId="4" fillId="0" borderId="2" xfId="0" applyFont="1" applyFill="1" applyBorder="1" applyAlignment="1">
      <alignment horizontal="center" vertical="top"/>
    </xf>
    <xf numFmtId="0" fontId="13" fillId="0" borderId="2" xfId="0" applyNumberFormat="1" applyFont="1" applyFill="1" applyBorder="1" applyAlignment="1">
      <alignment horizontal="left" vertical="top"/>
    </xf>
    <xf numFmtId="167" fontId="13" fillId="5" borderId="11" xfId="0" applyNumberFormat="1" applyFont="1" applyFill="1" applyBorder="1" applyAlignment="1">
      <alignment horizontal="right" vertical="center" wrapText="1"/>
    </xf>
    <xf numFmtId="167" fontId="4" fillId="5" borderId="11" xfId="0" applyNumberFormat="1" applyFont="1" applyFill="1" applyBorder="1" applyAlignment="1">
      <alignment horizontal="right" vertical="center" wrapText="1"/>
    </xf>
    <xf numFmtId="0" fontId="4" fillId="0" borderId="3" xfId="0" applyNumberFormat="1" applyFont="1" applyFill="1" applyBorder="1" applyAlignment="1">
      <alignment horizontal="left" vertical="top"/>
    </xf>
    <xf numFmtId="0" fontId="4" fillId="5" borderId="11" xfId="0" applyNumberFormat="1" applyFont="1" applyFill="1" applyBorder="1" applyAlignment="1">
      <alignment horizontal="left" vertical="center" wrapText="1"/>
    </xf>
    <xf numFmtId="0" fontId="13" fillId="0" borderId="2" xfId="3" applyNumberFormat="1" applyFont="1" applyFill="1" applyBorder="1" applyAlignment="1">
      <alignment horizontal="right" vertical="top"/>
    </xf>
    <xf numFmtId="49" fontId="4" fillId="4" borderId="3" xfId="0" applyNumberFormat="1" applyFont="1" applyFill="1" applyBorder="1" applyAlignment="1">
      <alignment horizontal="center" vertical="center" wrapText="1"/>
    </xf>
    <xf numFmtId="0" fontId="13" fillId="0" borderId="10" xfId="0" applyFont="1" applyFill="1" applyBorder="1" applyAlignment="1">
      <alignment horizontal="center" vertical="top"/>
    </xf>
    <xf numFmtId="0" fontId="19" fillId="0" borderId="9" xfId="0" applyFont="1" applyFill="1" applyBorder="1" applyAlignment="1">
      <alignment horizontal="center" vertical="top" wrapText="1"/>
    </xf>
    <xf numFmtId="49" fontId="12" fillId="0" borderId="2" xfId="0" applyNumberFormat="1" applyFont="1" applyFill="1" applyBorder="1" applyAlignment="1">
      <alignment horizontal="center" vertical="top" wrapText="1"/>
    </xf>
    <xf numFmtId="0" fontId="13"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top" wrapText="1"/>
    </xf>
    <xf numFmtId="0" fontId="13" fillId="0" borderId="11" xfId="0" applyFont="1" applyFill="1" applyBorder="1" applyAlignment="1">
      <alignment vertical="top" wrapText="1"/>
    </xf>
    <xf numFmtId="0" fontId="13" fillId="0" borderId="0" xfId="0" applyNumberFormat="1" applyFont="1" applyAlignment="1">
      <alignment horizontal="left" vertical="top" wrapText="1"/>
    </xf>
    <xf numFmtId="14" fontId="13" fillId="0" borderId="0" xfId="0" applyNumberFormat="1" applyFont="1" applyAlignment="1">
      <alignment horizontal="center" vertical="top" wrapText="1"/>
    </xf>
    <xf numFmtId="167" fontId="13" fillId="0" borderId="0" xfId="3" applyNumberFormat="1" applyFont="1" applyAlignment="1">
      <alignment horizontal="right" vertical="top"/>
    </xf>
    <xf numFmtId="49" fontId="36" fillId="4" borderId="2" xfId="0" applyNumberFormat="1" applyFont="1" applyFill="1" applyBorder="1" applyAlignment="1">
      <alignment horizontal="center" vertical="center" wrapText="1"/>
    </xf>
    <xf numFmtId="167" fontId="4" fillId="4" borderId="2" xfId="3" applyNumberFormat="1" applyFont="1" applyFill="1" applyBorder="1" applyAlignment="1">
      <alignment horizontal="center" vertical="center" wrapText="1"/>
    </xf>
    <xf numFmtId="167" fontId="4" fillId="3" borderId="2" xfId="3" applyNumberFormat="1" applyFont="1" applyFill="1" applyBorder="1" applyAlignment="1">
      <alignment horizontal="center" vertical="center" wrapText="1"/>
    </xf>
    <xf numFmtId="0" fontId="4" fillId="2" borderId="2" xfId="0" applyNumberFormat="1" applyFont="1" applyFill="1" applyBorder="1" applyAlignment="1">
      <alignment horizontal="left" vertical="center" wrapText="1"/>
    </xf>
    <xf numFmtId="0" fontId="36" fillId="2" borderId="2" xfId="0" applyNumberFormat="1" applyFont="1" applyFill="1" applyBorder="1" applyAlignment="1">
      <alignment horizontal="left" vertical="center" wrapText="1"/>
    </xf>
    <xf numFmtId="167" fontId="4" fillId="2" borderId="2" xfId="3" applyNumberFormat="1" applyFont="1" applyFill="1" applyBorder="1" applyAlignment="1">
      <alignment horizontal="center" vertical="center"/>
    </xf>
    <xf numFmtId="167" fontId="4" fillId="5" borderId="2" xfId="3" applyNumberFormat="1" applyFont="1" applyFill="1" applyBorder="1" applyAlignment="1">
      <alignment horizontal="center" vertical="center"/>
    </xf>
    <xf numFmtId="0" fontId="13" fillId="0" borderId="2" xfId="0" applyFont="1" applyBorder="1" applyAlignment="1">
      <alignment horizontal="left" vertical="top" wrapText="1"/>
    </xf>
    <xf numFmtId="49" fontId="4" fillId="0" borderId="2" xfId="0" applyNumberFormat="1" applyFont="1" applyFill="1" applyBorder="1" applyAlignment="1">
      <alignment horizontal="left" vertical="top"/>
    </xf>
    <xf numFmtId="167" fontId="13" fillId="5" borderId="2" xfId="0" applyNumberFormat="1" applyFont="1" applyFill="1" applyBorder="1" applyAlignment="1">
      <alignment horizontal="center" vertical="center" wrapText="1"/>
    </xf>
    <xf numFmtId="49" fontId="4" fillId="5" borderId="2" xfId="0" applyNumberFormat="1" applyFont="1" applyFill="1" applyBorder="1" applyAlignment="1">
      <alignment horizontal="center" vertical="top" wrapText="1"/>
    </xf>
    <xf numFmtId="167" fontId="4" fillId="0" borderId="2" xfId="3" applyNumberFormat="1" applyFont="1" applyFill="1" applyBorder="1" applyAlignment="1">
      <alignment horizontal="center" vertical="top"/>
    </xf>
    <xf numFmtId="0" fontId="13" fillId="2" borderId="2" xfId="0" applyNumberFormat="1" applyFont="1" applyFill="1" applyBorder="1" applyAlignment="1">
      <alignment horizontal="center" vertical="top" wrapText="1"/>
    </xf>
    <xf numFmtId="167" fontId="4" fillId="5" borderId="2" xfId="0" applyNumberFormat="1" applyFont="1" applyFill="1" applyBorder="1" applyAlignment="1">
      <alignment horizontal="center" vertical="center" wrapText="1"/>
    </xf>
    <xf numFmtId="0" fontId="13" fillId="2" borderId="2" xfId="0" applyNumberFormat="1" applyFont="1" applyFill="1" applyBorder="1" applyAlignment="1">
      <alignment horizontal="left" vertical="top" wrapText="1"/>
    </xf>
    <xf numFmtId="0" fontId="13" fillId="0" borderId="2" xfId="0" applyFont="1" applyBorder="1" applyAlignment="1">
      <alignment horizontal="center" vertical="top" wrapText="1"/>
    </xf>
    <xf numFmtId="14" fontId="13" fillId="0" borderId="11" xfId="0" applyNumberFormat="1" applyFont="1" applyFill="1" applyBorder="1" applyAlignment="1">
      <alignment vertical="top" wrapText="1"/>
    </xf>
    <xf numFmtId="49" fontId="13" fillId="0" borderId="11" xfId="0" applyNumberFormat="1" applyFont="1" applyFill="1" applyBorder="1" applyAlignment="1">
      <alignment horizontal="left" vertical="top"/>
    </xf>
    <xf numFmtId="167" fontId="13" fillId="0" borderId="2" xfId="0" applyNumberFormat="1" applyFont="1" applyFill="1" applyBorder="1" applyAlignment="1">
      <alignment horizontal="center" vertical="center"/>
    </xf>
    <xf numFmtId="0" fontId="13" fillId="0" borderId="11" xfId="0" applyNumberFormat="1" applyFont="1" applyFill="1" applyBorder="1" applyAlignment="1">
      <alignment horizontal="left" vertical="top" wrapText="1"/>
    </xf>
    <xf numFmtId="49" fontId="13" fillId="0" borderId="2" xfId="0" applyNumberFormat="1" applyFont="1" applyFill="1" applyBorder="1" applyAlignment="1">
      <alignment horizontal="center" vertical="top"/>
    </xf>
    <xf numFmtId="167" fontId="13" fillId="0" borderId="2" xfId="0" applyNumberFormat="1" applyFont="1" applyBorder="1" applyAlignment="1">
      <alignment horizontal="left" vertical="top" wrapText="1"/>
    </xf>
    <xf numFmtId="0" fontId="13" fillId="2" borderId="2" xfId="0" applyNumberFormat="1" applyFont="1" applyFill="1" applyBorder="1" applyAlignment="1">
      <alignment horizontal="left" vertical="center" wrapText="1"/>
    </xf>
    <xf numFmtId="49" fontId="13" fillId="2" borderId="2" xfId="0" applyNumberFormat="1" applyFont="1" applyFill="1" applyBorder="1" applyAlignment="1">
      <alignment horizontal="left" vertical="center" wrapText="1"/>
    </xf>
    <xf numFmtId="4" fontId="13" fillId="5" borderId="2" xfId="3" applyNumberFormat="1" applyFont="1" applyFill="1" applyBorder="1" applyAlignment="1">
      <alignment horizontal="right" vertical="top"/>
    </xf>
    <xf numFmtId="0" fontId="17" fillId="0" borderId="2" xfId="0" applyFont="1" applyBorder="1" applyAlignment="1">
      <alignment horizontal="center" vertical="top"/>
    </xf>
    <xf numFmtId="170" fontId="13" fillId="0" borderId="2" xfId="3" applyNumberFormat="1" applyFont="1" applyFill="1" applyBorder="1" applyAlignment="1">
      <alignment horizontal="center" vertical="center"/>
    </xf>
    <xf numFmtId="0" fontId="4" fillId="3" borderId="2" xfId="0" applyNumberFormat="1" applyFont="1" applyFill="1" applyBorder="1" applyAlignment="1">
      <alignment horizontal="left" vertical="top" wrapText="1"/>
    </xf>
    <xf numFmtId="14" fontId="18" fillId="0" borderId="2" xfId="0" applyNumberFormat="1" applyFont="1" applyFill="1" applyBorder="1" applyAlignment="1">
      <alignment horizontal="center" vertical="top" wrapText="1"/>
    </xf>
    <xf numFmtId="167" fontId="21" fillId="3" borderId="2" xfId="3" applyNumberFormat="1" applyFont="1" applyFill="1" applyBorder="1" applyAlignment="1">
      <alignment horizontal="right" vertical="center" wrapText="1"/>
    </xf>
    <xf numFmtId="167" fontId="21" fillId="7" borderId="2" xfId="3" applyNumberFormat="1" applyFont="1" applyFill="1" applyBorder="1" applyAlignment="1">
      <alignment horizontal="right" vertical="center"/>
    </xf>
    <xf numFmtId="167" fontId="19" fillId="0" borderId="2" xfId="3" applyNumberFormat="1" applyFont="1" applyFill="1" applyBorder="1" applyAlignment="1">
      <alignment horizontal="right" vertical="top"/>
    </xf>
    <xf numFmtId="0" fontId="13" fillId="0" borderId="10" xfId="0" applyNumberFormat="1" applyFont="1" applyFill="1" applyBorder="1" applyAlignment="1">
      <alignment horizontal="left" vertical="top" wrapText="1"/>
    </xf>
    <xf numFmtId="0" fontId="17" fillId="0" borderId="11" xfId="0" applyFont="1" applyFill="1" applyBorder="1" applyAlignment="1">
      <alignment horizontal="center" vertical="top"/>
    </xf>
    <xf numFmtId="0" fontId="17" fillId="0" borderId="11" xfId="0" applyFont="1" applyFill="1" applyBorder="1" applyAlignment="1">
      <alignment horizontal="center" vertical="top" wrapText="1"/>
    </xf>
    <xf numFmtId="14" fontId="13" fillId="0" borderId="10" xfId="0" applyNumberFormat="1" applyFont="1" applyFill="1" applyBorder="1" applyAlignment="1">
      <alignment vertical="top" wrapText="1"/>
    </xf>
    <xf numFmtId="0" fontId="12" fillId="0" borderId="2" xfId="0" applyNumberFormat="1" applyFont="1" applyFill="1" applyBorder="1" applyAlignment="1">
      <alignment horizontal="left" vertical="top" wrapText="1"/>
    </xf>
    <xf numFmtId="0" fontId="19" fillId="0" borderId="2" xfId="0" applyNumberFormat="1" applyFont="1" applyFill="1" applyBorder="1" applyAlignment="1">
      <alignment horizontal="left" vertical="top" wrapText="1"/>
    </xf>
    <xf numFmtId="0" fontId="20" fillId="0" borderId="2" xfId="0" applyNumberFormat="1" applyFont="1" applyFill="1" applyBorder="1" applyAlignment="1">
      <alignment horizontal="left" vertical="top" wrapText="1"/>
    </xf>
    <xf numFmtId="14" fontId="15" fillId="0" borderId="2" xfId="0" applyNumberFormat="1" applyFont="1" applyFill="1" applyBorder="1" applyAlignment="1">
      <alignment horizontal="left" vertical="top" wrapText="1"/>
    </xf>
    <xf numFmtId="14" fontId="29" fillId="0" borderId="2" xfId="0" applyNumberFormat="1" applyFont="1" applyFill="1" applyBorder="1" applyAlignment="1">
      <alignment horizontal="left" vertical="top" wrapText="1"/>
    </xf>
    <xf numFmtId="0" fontId="21" fillId="0" borderId="2" xfId="0" applyNumberFormat="1" applyFont="1" applyFill="1" applyBorder="1" applyAlignment="1">
      <alignment horizontal="left" vertical="top" wrapText="1"/>
    </xf>
    <xf numFmtId="167" fontId="21" fillId="0" borderId="2" xfId="0" applyNumberFormat="1" applyFont="1" applyFill="1" applyBorder="1" applyAlignment="1">
      <alignment horizontal="right" vertical="top" wrapText="1"/>
    </xf>
    <xf numFmtId="14" fontId="17" fillId="0" borderId="2" xfId="0" applyNumberFormat="1" applyFont="1" applyFill="1" applyBorder="1" applyAlignment="1">
      <alignment vertical="top"/>
    </xf>
    <xf numFmtId="14" fontId="17" fillId="0" borderId="2" xfId="0" applyNumberFormat="1" applyFont="1" applyFill="1" applyBorder="1" applyAlignment="1">
      <alignment vertical="top" wrapText="1"/>
    </xf>
    <xf numFmtId="14" fontId="15" fillId="0" borderId="2" xfId="0" applyNumberFormat="1" applyFont="1" applyFill="1" applyBorder="1" applyAlignment="1">
      <alignment vertical="top" wrapText="1"/>
    </xf>
    <xf numFmtId="49" fontId="15" fillId="0" borderId="2" xfId="0" applyNumberFormat="1" applyFont="1" applyFill="1" applyBorder="1" applyAlignment="1">
      <alignment horizontal="left" vertical="top" wrapText="1"/>
    </xf>
    <xf numFmtId="0" fontId="28" fillId="0" borderId="2" xfId="0" applyNumberFormat="1" applyFont="1" applyFill="1" applyBorder="1" applyAlignment="1">
      <alignment horizontal="left" vertical="top" wrapText="1"/>
    </xf>
    <xf numFmtId="167" fontId="13" fillId="0" borderId="2" xfId="0" applyNumberFormat="1" applyFont="1" applyFill="1" applyBorder="1" applyAlignment="1">
      <alignment horizontal="right" vertical="center" wrapText="1"/>
    </xf>
    <xf numFmtId="0" fontId="15" fillId="0" borderId="2" xfId="0" applyNumberFormat="1" applyFont="1" applyFill="1" applyBorder="1" applyAlignment="1">
      <alignment horizontal="left" vertical="top" wrapText="1"/>
    </xf>
    <xf numFmtId="167" fontId="13" fillId="0" borderId="11" xfId="3" applyNumberFormat="1" applyFont="1" applyFill="1" applyBorder="1" applyAlignment="1">
      <alignment horizontal="right" vertical="top"/>
    </xf>
    <xf numFmtId="14" fontId="44" fillId="0" borderId="2"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7" borderId="2" xfId="0" applyNumberFormat="1" applyFont="1" applyFill="1" applyBorder="1" applyAlignment="1">
      <alignment horizontal="left" vertical="center" wrapText="1"/>
    </xf>
    <xf numFmtId="0" fontId="12" fillId="0" borderId="11" xfId="0" applyFont="1" applyFill="1" applyBorder="1" applyAlignment="1">
      <alignment horizontal="center" vertical="top" wrapText="1"/>
    </xf>
    <xf numFmtId="14" fontId="13" fillId="0" borderId="11" xfId="0" applyNumberFormat="1" applyFont="1" applyFill="1" applyBorder="1" applyAlignment="1">
      <alignment horizontal="center" vertical="top" wrapText="1"/>
    </xf>
    <xf numFmtId="0" fontId="12" fillId="0" borderId="10" xfId="0" applyFont="1" applyFill="1" applyBorder="1" applyAlignment="1">
      <alignment horizontal="center" vertical="top" wrapText="1"/>
    </xf>
    <xf numFmtId="0" fontId="13" fillId="0" borderId="9" xfId="0" applyFont="1" applyFill="1" applyBorder="1" applyAlignment="1">
      <alignment horizontal="center" vertical="top" wrapText="1"/>
    </xf>
    <xf numFmtId="0" fontId="13" fillId="0" borderId="10" xfId="0" applyFont="1" applyFill="1" applyBorder="1" applyAlignment="1">
      <alignment horizontal="center" vertical="top"/>
    </xf>
    <xf numFmtId="14" fontId="13" fillId="0" borderId="10" xfId="0" applyNumberFormat="1" applyFont="1" applyFill="1" applyBorder="1" applyAlignment="1">
      <alignment horizontal="center" vertical="top" wrapText="1"/>
    </xf>
    <xf numFmtId="0" fontId="13" fillId="0" borderId="11" xfId="0" applyNumberFormat="1" applyFont="1" applyFill="1" applyBorder="1" applyAlignment="1">
      <alignment horizontal="center" vertical="top" wrapText="1"/>
    </xf>
    <xf numFmtId="49" fontId="13" fillId="0" borderId="11" xfId="0" applyNumberFormat="1" applyFont="1" applyFill="1" applyBorder="1" applyAlignment="1">
      <alignment horizontal="center" vertical="top" wrapText="1"/>
    </xf>
    <xf numFmtId="49" fontId="13" fillId="0" borderId="9" xfId="0" applyNumberFormat="1" applyFont="1" applyFill="1" applyBorder="1" applyAlignment="1">
      <alignment horizontal="center" vertical="top" wrapText="1"/>
    </xf>
    <xf numFmtId="49" fontId="13" fillId="0" borderId="10" xfId="0" applyNumberFormat="1" applyFont="1" applyFill="1" applyBorder="1" applyAlignment="1">
      <alignment horizontal="center" vertical="top" wrapText="1"/>
    </xf>
    <xf numFmtId="0" fontId="13" fillId="0" borderId="2" xfId="0" applyFont="1" applyFill="1" applyBorder="1" applyAlignment="1">
      <alignment horizontal="center" vertical="top" wrapText="1"/>
    </xf>
    <xf numFmtId="14" fontId="13" fillId="0" borderId="2" xfId="0" applyNumberFormat="1" applyFont="1" applyFill="1" applyBorder="1" applyAlignment="1">
      <alignment horizontal="center" vertical="top" wrapText="1"/>
    </xf>
    <xf numFmtId="0" fontId="13" fillId="0" borderId="7" xfId="0" applyNumberFormat="1" applyFont="1" applyFill="1" applyBorder="1" applyAlignment="1">
      <alignment horizontal="left" vertical="top" wrapText="1"/>
    </xf>
    <xf numFmtId="0" fontId="13" fillId="0" borderId="8" xfId="0" applyNumberFormat="1" applyFont="1" applyFill="1" applyBorder="1" applyAlignment="1">
      <alignment horizontal="left" vertical="top" wrapText="1"/>
    </xf>
    <xf numFmtId="49" fontId="13" fillId="0" borderId="2" xfId="0" applyNumberFormat="1" applyFont="1" applyFill="1" applyBorder="1" applyAlignment="1">
      <alignment horizontal="center" vertical="top"/>
    </xf>
    <xf numFmtId="49" fontId="13" fillId="0" borderId="2" xfId="0" applyNumberFormat="1" applyFont="1" applyBorder="1" applyAlignment="1">
      <alignment horizontal="left" vertical="top"/>
    </xf>
    <xf numFmtId="0" fontId="13" fillId="0" borderId="2" xfId="0" applyFont="1" applyBorder="1" applyAlignment="1">
      <alignment horizontal="left" vertical="top"/>
    </xf>
    <xf numFmtId="0" fontId="13" fillId="0" borderId="2" xfId="0" applyFont="1" applyBorder="1" applyAlignment="1">
      <alignment horizontal="left" vertical="top" wrapText="1"/>
    </xf>
    <xf numFmtId="49" fontId="13" fillId="0" borderId="2" xfId="0" applyNumberFormat="1" applyFont="1" applyFill="1" applyBorder="1" applyAlignment="1">
      <alignment horizontal="left" vertical="top"/>
    </xf>
    <xf numFmtId="49" fontId="13" fillId="0" borderId="2" xfId="0" applyNumberFormat="1" applyFont="1" applyFill="1" applyBorder="1" applyAlignment="1">
      <alignment horizontal="center" vertical="top" wrapText="1"/>
    </xf>
    <xf numFmtId="0" fontId="13" fillId="0" borderId="2" xfId="0" applyFont="1" applyBorder="1" applyAlignment="1">
      <alignment horizontal="center" vertical="top" wrapText="1"/>
    </xf>
    <xf numFmtId="14" fontId="13" fillId="0" borderId="2" xfId="0" applyNumberFormat="1" applyFont="1" applyFill="1" applyBorder="1" applyAlignment="1">
      <alignment horizontal="left" vertical="top" wrapText="1"/>
    </xf>
    <xf numFmtId="0" fontId="13" fillId="0" borderId="2" xfId="0" applyNumberFormat="1" applyFont="1" applyFill="1" applyBorder="1" applyAlignment="1">
      <alignment horizontal="left" vertical="top" wrapText="1"/>
    </xf>
    <xf numFmtId="0" fontId="13" fillId="0" borderId="2" xfId="0" applyFont="1" applyFill="1" applyBorder="1" applyAlignment="1">
      <alignment horizontal="left" vertical="top" wrapText="1"/>
    </xf>
    <xf numFmtId="0" fontId="13" fillId="0" borderId="2" xfId="0" applyFont="1" applyBorder="1" applyAlignment="1">
      <alignment vertical="top" wrapText="1"/>
    </xf>
    <xf numFmtId="49" fontId="13" fillId="0" borderId="2" xfId="0" applyNumberFormat="1" applyFont="1" applyFill="1" applyBorder="1" applyAlignment="1">
      <alignment horizontal="center" vertical="center" wrapText="1"/>
    </xf>
    <xf numFmtId="0" fontId="4" fillId="2" borderId="2" xfId="0" applyNumberFormat="1" applyFont="1" applyFill="1" applyBorder="1" applyAlignment="1">
      <alignment horizontal="left" vertical="top" wrapText="1"/>
    </xf>
    <xf numFmtId="49" fontId="4" fillId="7" borderId="2" xfId="0" applyNumberFormat="1" applyFont="1" applyFill="1" applyBorder="1" applyAlignment="1">
      <alignment horizontal="left" vertical="center"/>
    </xf>
    <xf numFmtId="0" fontId="16" fillId="0" borderId="2" xfId="0" applyNumberFormat="1" applyFont="1" applyFill="1" applyBorder="1" applyAlignment="1">
      <alignment horizontal="left" vertical="top"/>
    </xf>
    <xf numFmtId="0" fontId="12" fillId="0" borderId="2" xfId="0" applyFont="1" applyFill="1" applyBorder="1" applyAlignment="1">
      <alignment horizontal="center" vertical="top" wrapText="1"/>
    </xf>
    <xf numFmtId="0" fontId="15" fillId="0" borderId="2" xfId="0" applyFont="1" applyFill="1" applyBorder="1" applyAlignment="1">
      <alignment horizontal="center" vertical="top" wrapText="1"/>
    </xf>
    <xf numFmtId="49" fontId="13" fillId="0" borderId="2" xfId="0" applyNumberFormat="1" applyFont="1" applyFill="1" applyBorder="1" applyAlignment="1">
      <alignment horizontal="left" vertical="top" wrapText="1"/>
    </xf>
    <xf numFmtId="167" fontId="4" fillId="0" borderId="2" xfId="3" applyNumberFormat="1" applyFont="1" applyFill="1" applyBorder="1" applyAlignment="1">
      <alignment horizontal="right" vertical="center"/>
    </xf>
    <xf numFmtId="0" fontId="4"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center" vertical="top" wrapText="1"/>
    </xf>
    <xf numFmtId="0" fontId="6" fillId="0" borderId="2" xfId="0" applyNumberFormat="1" applyFont="1" applyFill="1" applyBorder="1" applyAlignment="1">
      <alignment horizontal="left" vertical="top" wrapText="1"/>
    </xf>
    <xf numFmtId="4" fontId="30" fillId="0" borderId="2" xfId="3" applyNumberFormat="1" applyFont="1" applyFill="1" applyBorder="1" applyAlignment="1">
      <alignment horizontal="right" vertical="top"/>
    </xf>
    <xf numFmtId="4" fontId="4" fillId="0" borderId="2" xfId="3" applyNumberFormat="1" applyFont="1" applyFill="1" applyBorder="1" applyAlignment="1">
      <alignment horizontal="right" vertical="top"/>
    </xf>
    <xf numFmtId="167" fontId="31" fillId="0" borderId="2" xfId="3" applyNumberFormat="1" applyFont="1" applyFill="1" applyBorder="1" applyAlignment="1">
      <alignment horizontal="right" vertical="center"/>
    </xf>
    <xf numFmtId="0" fontId="30" fillId="0" borderId="2" xfId="0" applyNumberFormat="1" applyFont="1" applyFill="1" applyBorder="1" applyAlignment="1">
      <alignment horizontal="center" vertical="top" wrapText="1"/>
    </xf>
    <xf numFmtId="0" fontId="30" fillId="0" borderId="2" xfId="0" applyFont="1" applyFill="1" applyBorder="1" applyAlignment="1">
      <alignment horizontal="center" vertical="top"/>
    </xf>
    <xf numFmtId="14" fontId="30" fillId="0" borderId="2" xfId="0" applyNumberFormat="1" applyFont="1" applyFill="1" applyBorder="1" applyAlignment="1">
      <alignment horizontal="center" vertical="top" wrapText="1"/>
    </xf>
    <xf numFmtId="0" fontId="30" fillId="0" borderId="2" xfId="0" applyFont="1" applyFill="1" applyBorder="1" applyAlignment="1">
      <alignment horizontal="center" vertical="top" wrapText="1"/>
    </xf>
    <xf numFmtId="0" fontId="13" fillId="0" borderId="2" xfId="0" applyNumberFormat="1" applyFont="1" applyFill="1" applyBorder="1" applyAlignment="1">
      <alignment horizontal="center" vertical="top" wrapText="1"/>
    </xf>
    <xf numFmtId="167" fontId="13" fillId="0" borderId="2" xfId="3" applyNumberFormat="1" applyFont="1" applyFill="1" applyBorder="1" applyAlignment="1">
      <alignment vertical="top"/>
    </xf>
    <xf numFmtId="0" fontId="13" fillId="0" borderId="2" xfId="0" applyFont="1" applyFill="1" applyBorder="1" applyAlignment="1">
      <alignment horizontal="center" vertical="top"/>
    </xf>
    <xf numFmtId="0" fontId="8" fillId="0" borderId="2" xfId="0" applyNumberFormat="1" applyFont="1" applyFill="1" applyBorder="1" applyAlignment="1">
      <alignment horizontal="left" vertical="top"/>
    </xf>
    <xf numFmtId="49" fontId="13" fillId="0" borderId="2" xfId="0" applyNumberFormat="1" applyFont="1" applyFill="1" applyBorder="1" applyAlignment="1">
      <alignment vertical="top"/>
    </xf>
    <xf numFmtId="14" fontId="13" fillId="0" borderId="2" xfId="0" applyNumberFormat="1" applyFont="1" applyFill="1" applyBorder="1" applyAlignment="1">
      <alignment vertical="top" wrapText="1"/>
    </xf>
    <xf numFmtId="0" fontId="13" fillId="0" borderId="2" xfId="0" applyFont="1" applyBorder="1" applyAlignment="1">
      <alignment horizontal="center" vertical="top"/>
    </xf>
    <xf numFmtId="0" fontId="4" fillId="0" borderId="2" xfId="0" applyNumberFormat="1" applyFont="1" applyFill="1" applyBorder="1" applyAlignment="1">
      <alignment horizontal="center" vertical="top" wrapText="1"/>
    </xf>
    <xf numFmtId="0" fontId="4" fillId="0" borderId="2" xfId="0" applyNumberFormat="1" applyFont="1" applyFill="1" applyBorder="1" applyAlignment="1">
      <alignment vertical="top" wrapText="1"/>
    </xf>
    <xf numFmtId="0" fontId="16" fillId="0" borderId="2" xfId="0" applyFont="1" applyBorder="1" applyAlignment="1">
      <alignment horizontal="left" vertical="top"/>
    </xf>
    <xf numFmtId="49" fontId="13" fillId="0" borderId="2" xfId="0" applyNumberFormat="1" applyFont="1" applyBorder="1" applyAlignment="1">
      <alignment horizontal="center" vertical="top" wrapText="1"/>
    </xf>
    <xf numFmtId="0" fontId="18" fillId="0" borderId="2" xfId="0" applyFont="1" applyBorder="1" applyAlignment="1">
      <alignment horizontal="left" vertical="top"/>
    </xf>
    <xf numFmtId="0" fontId="4" fillId="3" borderId="2" xfId="0" applyFont="1" applyFill="1" applyBorder="1" applyAlignment="1">
      <alignment horizontal="left" vertical="top" wrapText="1"/>
    </xf>
    <xf numFmtId="2" fontId="13" fillId="0" borderId="2" xfId="0" applyNumberFormat="1" applyFont="1" applyFill="1" applyBorder="1" applyAlignment="1">
      <alignment horizontal="center" vertical="center" wrapText="1"/>
    </xf>
    <xf numFmtId="167" fontId="13" fillId="0" borderId="2" xfId="3" applyNumberFormat="1" applyFont="1" applyFill="1" applyBorder="1" applyAlignment="1" applyProtection="1">
      <alignment horizontal="center" vertical="center"/>
    </xf>
    <xf numFmtId="167" fontId="27" fillId="0" borderId="2" xfId="3" applyNumberFormat="1" applyFont="1" applyFill="1" applyBorder="1" applyAlignment="1">
      <alignment horizontal="center" vertical="center"/>
    </xf>
    <xf numFmtId="0" fontId="13" fillId="0" borderId="2" xfId="0" applyNumberFormat="1" applyFont="1" applyFill="1" applyBorder="1" applyAlignment="1">
      <alignment vertical="top" wrapText="1"/>
    </xf>
    <xf numFmtId="0" fontId="13" fillId="0" borderId="2" xfId="0" applyFont="1" applyFill="1" applyBorder="1" applyAlignment="1" applyProtection="1">
      <alignment vertical="top" wrapText="1"/>
      <protection locked="0"/>
    </xf>
    <xf numFmtId="170" fontId="13" fillId="0" borderId="2" xfId="4" applyNumberFormat="1" applyFont="1" applyFill="1" applyBorder="1" applyAlignment="1">
      <alignment horizontal="center" vertical="center"/>
    </xf>
    <xf numFmtId="0" fontId="18" fillId="0" borderId="2" xfId="0" applyNumberFormat="1" applyFont="1" applyFill="1" applyBorder="1" applyAlignment="1">
      <alignment horizontal="left" vertical="top"/>
    </xf>
    <xf numFmtId="14" fontId="33" fillId="0" borderId="2" xfId="0"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xf>
    <xf numFmtId="0" fontId="23" fillId="0" borderId="2" xfId="0" applyFont="1" applyFill="1" applyBorder="1" applyAlignment="1">
      <alignment horizontal="center" vertical="center"/>
    </xf>
    <xf numFmtId="14" fontId="23" fillId="0" borderId="2" xfId="0" applyNumberFormat="1" applyFont="1" applyFill="1" applyBorder="1" applyAlignment="1">
      <alignment horizontal="center" vertical="center"/>
    </xf>
    <xf numFmtId="0" fontId="4" fillId="0" borderId="2" xfId="0" applyFont="1" applyFill="1" applyBorder="1" applyAlignment="1">
      <alignment horizontal="left" vertical="top" wrapText="1"/>
    </xf>
    <xf numFmtId="0" fontId="24" fillId="0" borderId="0" xfId="0" applyNumberFormat="1" applyFont="1" applyAlignment="1">
      <alignment horizontal="left" vertical="top" wrapText="1"/>
    </xf>
    <xf numFmtId="0" fontId="24" fillId="0" borderId="0" xfId="0" applyNumberFormat="1" applyFont="1" applyAlignment="1">
      <alignment horizontal="left" vertical="top"/>
    </xf>
    <xf numFmtId="14" fontId="24" fillId="0" borderId="0" xfId="0" applyNumberFormat="1" applyFont="1" applyAlignment="1">
      <alignment horizontal="center" vertical="top" wrapText="1"/>
    </xf>
    <xf numFmtId="0" fontId="24" fillId="0" borderId="0" xfId="0" applyFont="1" applyAlignment="1">
      <alignment horizontal="left" vertical="top"/>
    </xf>
    <xf numFmtId="14" fontId="24" fillId="0" borderId="0" xfId="0" applyNumberFormat="1" applyFont="1" applyAlignment="1">
      <alignment vertical="top"/>
    </xf>
    <xf numFmtId="167" fontId="24" fillId="0" borderId="0" xfId="3" applyNumberFormat="1" applyFont="1" applyAlignment="1">
      <alignment horizontal="right" vertical="top"/>
    </xf>
    <xf numFmtId="0" fontId="24" fillId="0" borderId="0" xfId="0" applyFont="1"/>
    <xf numFmtId="167" fontId="24" fillId="0" borderId="0" xfId="0" applyNumberFormat="1" applyFont="1" applyAlignment="1">
      <alignment horizontal="left" vertical="top"/>
    </xf>
    <xf numFmtId="167" fontId="24" fillId="0" borderId="0" xfId="0" applyNumberFormat="1" applyFont="1" applyAlignment="1">
      <alignment horizontal="center" vertical="top" wrapText="1"/>
    </xf>
    <xf numFmtId="167" fontId="24" fillId="0" borderId="0" xfId="0" applyNumberFormat="1" applyFont="1" applyAlignment="1">
      <alignment horizontal="center" vertical="top"/>
    </xf>
    <xf numFmtId="167" fontId="24" fillId="0" borderId="0" xfId="0" applyNumberFormat="1" applyFont="1" applyAlignment="1">
      <alignment vertical="top"/>
    </xf>
    <xf numFmtId="167" fontId="24" fillId="0" borderId="0" xfId="0" applyNumberFormat="1" applyFont="1"/>
    <xf numFmtId="167" fontId="36" fillId="0" borderId="0" xfId="0" applyNumberFormat="1" applyFont="1" applyAlignment="1">
      <alignment horizontal="left" vertical="center"/>
    </xf>
    <xf numFmtId="167" fontId="36" fillId="0" borderId="0" xfId="0" applyNumberFormat="1" applyFont="1" applyAlignment="1">
      <alignment horizontal="left" vertical="top"/>
    </xf>
    <xf numFmtId="0" fontId="36" fillId="0" borderId="0" xfId="0" applyNumberFormat="1" applyFont="1" applyAlignment="1">
      <alignment horizontal="left" vertical="top"/>
    </xf>
    <xf numFmtId="167" fontId="36" fillId="0" borderId="0" xfId="0" applyNumberFormat="1" applyFont="1" applyAlignment="1">
      <alignment horizontal="center" vertical="top" wrapText="1"/>
    </xf>
    <xf numFmtId="167" fontId="36" fillId="0" borderId="0" xfId="0" applyNumberFormat="1" applyFont="1" applyAlignment="1">
      <alignment horizontal="center" vertical="top"/>
    </xf>
    <xf numFmtId="167" fontId="36" fillId="0" borderId="0" xfId="0" applyNumberFormat="1" applyFont="1" applyAlignment="1">
      <alignment vertical="top"/>
    </xf>
    <xf numFmtId="167" fontId="36" fillId="0" borderId="0" xfId="3" applyNumberFormat="1" applyFont="1" applyAlignment="1">
      <alignment horizontal="right" vertical="top"/>
    </xf>
    <xf numFmtId="167" fontId="36" fillId="0" borderId="0" xfId="0" applyNumberFormat="1" applyFont="1"/>
    <xf numFmtId="0" fontId="24" fillId="0" borderId="0" xfId="0" applyFont="1" applyAlignment="1">
      <alignment horizontal="center" vertical="center"/>
    </xf>
    <xf numFmtId="167" fontId="24" fillId="0" borderId="2" xfId="3" applyNumberFormat="1" applyFont="1" applyFill="1" applyBorder="1" applyAlignment="1">
      <alignment horizontal="center" vertical="center" wrapText="1"/>
    </xf>
    <xf numFmtId="49" fontId="24" fillId="0" borderId="2" xfId="0" applyNumberFormat="1" applyFont="1" applyFill="1" applyBorder="1" applyAlignment="1">
      <alignment horizontal="center" vertical="center" wrapText="1"/>
    </xf>
    <xf numFmtId="0" fontId="24" fillId="0" borderId="2" xfId="0" applyNumberFormat="1" applyFont="1" applyFill="1" applyBorder="1" applyAlignment="1">
      <alignment horizontal="center" vertical="top" wrapText="1"/>
    </xf>
    <xf numFmtId="0" fontId="24" fillId="0" borderId="2" xfId="0" applyNumberFormat="1" applyFont="1" applyFill="1" applyBorder="1" applyAlignment="1">
      <alignment horizontal="center" vertical="center" wrapText="1"/>
    </xf>
    <xf numFmtId="49" fontId="24" fillId="0" borderId="2" xfId="0" applyNumberFormat="1" applyFont="1" applyFill="1" applyBorder="1" applyAlignment="1">
      <alignment horizontal="center" vertical="top" wrapText="1"/>
    </xf>
    <xf numFmtId="49" fontId="45" fillId="3" borderId="2" xfId="0" applyNumberFormat="1" applyFont="1" applyFill="1" applyBorder="1" applyAlignment="1">
      <alignment horizontal="left" vertical="center" wrapText="1"/>
    </xf>
    <xf numFmtId="0" fontId="45" fillId="3" borderId="2" xfId="0" applyNumberFormat="1" applyFont="1" applyFill="1" applyBorder="1" applyAlignment="1">
      <alignment horizontal="left" vertical="top" wrapText="1"/>
    </xf>
    <xf numFmtId="0" fontId="45" fillId="3" borderId="2" xfId="0" applyNumberFormat="1" applyFont="1" applyFill="1" applyBorder="1" applyAlignment="1">
      <alignment horizontal="left" vertical="center" wrapText="1"/>
    </xf>
    <xf numFmtId="49" fontId="45" fillId="3" borderId="2" xfId="0" applyNumberFormat="1" applyFont="1" applyFill="1" applyBorder="1" applyAlignment="1">
      <alignment horizontal="center" vertical="top" wrapText="1"/>
    </xf>
    <xf numFmtId="49" fontId="45" fillId="3" borderId="2" xfId="0" applyNumberFormat="1" applyFont="1" applyFill="1" applyBorder="1" applyAlignment="1">
      <alignment vertical="top" wrapText="1"/>
    </xf>
    <xf numFmtId="49" fontId="45" fillId="3" borderId="2" xfId="0" applyNumberFormat="1" applyFont="1" applyFill="1" applyBorder="1" applyAlignment="1">
      <alignment horizontal="center" vertical="center" wrapText="1"/>
    </xf>
    <xf numFmtId="167" fontId="45" fillId="3" borderId="2" xfId="3" applyNumberFormat="1" applyFont="1" applyFill="1" applyBorder="1" applyAlignment="1">
      <alignment horizontal="right" vertical="top" wrapText="1"/>
    </xf>
    <xf numFmtId="0" fontId="45" fillId="0" borderId="0" xfId="0" applyFont="1" applyAlignment="1">
      <alignment vertical="center"/>
    </xf>
    <xf numFmtId="49" fontId="45" fillId="0" borderId="2" xfId="0" applyNumberFormat="1" applyFont="1" applyFill="1" applyBorder="1" applyAlignment="1">
      <alignment horizontal="left" vertical="top" wrapText="1"/>
    </xf>
    <xf numFmtId="0" fontId="45" fillId="0" borderId="2" xfId="0" applyNumberFormat="1" applyFont="1" applyFill="1" applyBorder="1" applyAlignment="1">
      <alignment horizontal="left" vertical="center" wrapText="1"/>
    </xf>
    <xf numFmtId="49" fontId="45" fillId="0" borderId="2" xfId="0" applyNumberFormat="1" applyFont="1" applyFill="1" applyBorder="1" applyAlignment="1">
      <alignment horizontal="center" vertical="top" wrapText="1"/>
    </xf>
    <xf numFmtId="49" fontId="45" fillId="0" borderId="2" xfId="0" applyNumberFormat="1" applyFont="1" applyFill="1" applyBorder="1" applyAlignment="1">
      <alignment horizontal="left" vertical="center" wrapText="1"/>
    </xf>
    <xf numFmtId="49" fontId="45" fillId="0" borderId="2" xfId="0" applyNumberFormat="1" applyFont="1" applyFill="1" applyBorder="1" applyAlignment="1">
      <alignment vertical="top" wrapText="1"/>
    </xf>
    <xf numFmtId="49" fontId="45" fillId="0" borderId="2" xfId="0" applyNumberFormat="1" applyFont="1" applyFill="1" applyBorder="1" applyAlignment="1">
      <alignment horizontal="center" vertical="center" wrapText="1"/>
    </xf>
    <xf numFmtId="49" fontId="45" fillId="0" borderId="2" xfId="0" applyNumberFormat="1" applyFont="1" applyFill="1" applyBorder="1" applyAlignment="1">
      <alignment horizontal="right" vertical="top" wrapText="1"/>
    </xf>
    <xf numFmtId="167" fontId="45" fillId="7" borderId="2" xfId="3" applyNumberFormat="1" applyFont="1" applyFill="1" applyBorder="1" applyAlignment="1">
      <alignment horizontal="right" vertical="top"/>
    </xf>
    <xf numFmtId="0" fontId="45" fillId="0" borderId="2" xfId="0" applyNumberFormat="1" applyFont="1" applyFill="1" applyBorder="1" applyAlignment="1">
      <alignment horizontal="left" vertical="top"/>
    </xf>
    <xf numFmtId="0" fontId="24" fillId="0" borderId="2" xfId="0" applyNumberFormat="1" applyFont="1" applyFill="1" applyBorder="1" applyAlignment="1">
      <alignment horizontal="left" vertical="top" wrapText="1"/>
    </xf>
    <xf numFmtId="167" fontId="45" fillId="0" borderId="2" xfId="3" applyNumberFormat="1" applyFont="1" applyFill="1" applyBorder="1" applyAlignment="1">
      <alignment horizontal="right" vertical="top"/>
    </xf>
    <xf numFmtId="49" fontId="24" fillId="0" borderId="2" xfId="0" applyNumberFormat="1" applyFont="1" applyFill="1" applyBorder="1" applyAlignment="1">
      <alignment horizontal="left" vertical="top"/>
    </xf>
    <xf numFmtId="167" fontId="45" fillId="0" borderId="2" xfId="0" applyNumberFormat="1" applyFont="1" applyFill="1" applyBorder="1" applyAlignment="1">
      <alignment horizontal="right" vertical="top" wrapText="1"/>
    </xf>
    <xf numFmtId="49" fontId="45" fillId="7" borderId="2" xfId="0" applyNumberFormat="1" applyFont="1" applyFill="1" applyBorder="1" applyAlignment="1">
      <alignment horizontal="left" vertical="center"/>
    </xf>
    <xf numFmtId="0" fontId="45" fillId="7" borderId="2" xfId="0" applyNumberFormat="1" applyFont="1" applyFill="1" applyBorder="1" applyAlignment="1">
      <alignment horizontal="left" vertical="top"/>
    </xf>
    <xf numFmtId="14" fontId="45" fillId="7" borderId="2" xfId="0" applyNumberFormat="1" applyFont="1" applyFill="1" applyBorder="1" applyAlignment="1">
      <alignment horizontal="center" vertical="top" wrapText="1"/>
    </xf>
    <xf numFmtId="0" fontId="45" fillId="0" borderId="2" xfId="0" applyNumberFormat="1" applyFont="1" applyFill="1" applyBorder="1" applyAlignment="1">
      <alignment horizontal="left" vertical="top" wrapText="1"/>
    </xf>
    <xf numFmtId="0" fontId="45" fillId="0" borderId="2" xfId="0" applyNumberFormat="1" applyFont="1" applyFill="1" applyBorder="1" applyAlignment="1">
      <alignment horizontal="center" vertical="top" wrapText="1"/>
    </xf>
    <xf numFmtId="0" fontId="24" fillId="0" borderId="2" xfId="0" applyNumberFormat="1" applyFont="1" applyFill="1" applyBorder="1" applyAlignment="1">
      <alignment horizontal="left" vertical="top"/>
    </xf>
    <xf numFmtId="0" fontId="24" fillId="0" borderId="2" xfId="0" applyFont="1" applyFill="1" applyBorder="1" applyAlignment="1">
      <alignment horizontal="left" vertical="top" wrapText="1"/>
    </xf>
    <xf numFmtId="167" fontId="45" fillId="7" borderId="2" xfId="0" applyNumberFormat="1" applyFont="1" applyFill="1" applyBorder="1" applyAlignment="1">
      <alignment horizontal="right" vertical="top" wrapText="1"/>
    </xf>
    <xf numFmtId="14" fontId="24" fillId="0" borderId="2" xfId="0" applyNumberFormat="1" applyFont="1" applyFill="1" applyBorder="1" applyAlignment="1">
      <alignment horizontal="center" vertical="top"/>
    </xf>
    <xf numFmtId="49" fontId="24" fillId="0" borderId="2" xfId="0" applyNumberFormat="1" applyFont="1" applyFill="1" applyBorder="1" applyAlignment="1">
      <alignment horizontal="center" vertical="top"/>
    </xf>
    <xf numFmtId="14" fontId="24" fillId="0" borderId="2" xfId="0" applyNumberFormat="1" applyFont="1" applyFill="1" applyBorder="1" applyAlignment="1">
      <alignment horizontal="center" vertical="top" wrapText="1"/>
    </xf>
    <xf numFmtId="14" fontId="24" fillId="0" borderId="2" xfId="0" applyNumberFormat="1" applyFont="1" applyFill="1" applyBorder="1" applyAlignment="1">
      <alignment horizontal="left" vertical="top" wrapText="1"/>
    </xf>
    <xf numFmtId="0" fontId="24" fillId="0" borderId="2" xfId="0" applyFont="1" applyFill="1" applyBorder="1" applyAlignment="1">
      <alignment horizontal="left" vertical="top"/>
    </xf>
    <xf numFmtId="49" fontId="24" fillId="0" borderId="2" xfId="0" applyNumberFormat="1" applyFont="1" applyFill="1" applyBorder="1" applyAlignment="1">
      <alignment horizontal="left" vertical="top" wrapText="1"/>
    </xf>
    <xf numFmtId="0" fontId="46" fillId="0" borderId="0" xfId="0" applyFont="1" applyAlignment="1">
      <alignment vertical="center"/>
    </xf>
    <xf numFmtId="0" fontId="25" fillId="0" borderId="0" xfId="0" applyFont="1"/>
    <xf numFmtId="0" fontId="46" fillId="0" borderId="0" xfId="0" applyFont="1"/>
    <xf numFmtId="167" fontId="25" fillId="0" borderId="0" xfId="0" applyNumberFormat="1" applyFont="1"/>
    <xf numFmtId="0" fontId="25" fillId="0" borderId="0" xfId="0" applyFont="1" applyAlignment="1">
      <alignment vertical="center"/>
    </xf>
    <xf numFmtId="0" fontId="25" fillId="0" borderId="1" xfId="0" applyFont="1" applyBorder="1"/>
    <xf numFmtId="14" fontId="13" fillId="0" borderId="10" xfId="0" applyNumberFormat="1" applyFont="1" applyFill="1" applyBorder="1" applyAlignment="1">
      <alignment horizontal="left" vertical="center" wrapText="1"/>
    </xf>
    <xf numFmtId="0" fontId="13" fillId="0" borderId="10" xfId="0" applyFont="1" applyFill="1" applyBorder="1" applyAlignment="1">
      <alignment vertical="top" wrapText="1"/>
    </xf>
    <xf numFmtId="14" fontId="13" fillId="0" borderId="11" xfId="0" applyNumberFormat="1" applyFont="1" applyFill="1" applyBorder="1" applyAlignment="1">
      <alignment horizontal="left" vertical="center" wrapText="1"/>
    </xf>
    <xf numFmtId="4" fontId="31" fillId="0" borderId="2" xfId="3" applyNumberFormat="1" applyFont="1" applyFill="1" applyBorder="1" applyAlignment="1">
      <alignment horizontal="right" vertical="top"/>
    </xf>
    <xf numFmtId="0" fontId="13" fillId="0" borderId="2" xfId="0" applyFont="1" applyFill="1" applyBorder="1" applyAlignment="1">
      <alignment vertical="top"/>
    </xf>
    <xf numFmtId="167" fontId="25" fillId="0" borderId="2" xfId="0" applyNumberFormat="1" applyFont="1" applyFill="1" applyBorder="1" applyAlignment="1">
      <alignment horizontal="center" vertical="center"/>
    </xf>
    <xf numFmtId="0" fontId="25" fillId="0" borderId="2" xfId="0" applyFont="1" applyFill="1" applyBorder="1"/>
    <xf numFmtId="14" fontId="13" fillId="0" borderId="2" xfId="0" applyNumberFormat="1" applyFont="1" applyFill="1" applyBorder="1" applyAlignment="1">
      <alignment horizontal="left" vertical="top"/>
    </xf>
    <xf numFmtId="14" fontId="13" fillId="0" borderId="2" xfId="0" applyNumberFormat="1" applyFont="1" applyBorder="1" applyAlignment="1">
      <alignment horizontal="left" vertical="top" wrapText="1"/>
    </xf>
    <xf numFmtId="14" fontId="13" fillId="0" borderId="2" xfId="0" applyNumberFormat="1" applyFont="1" applyBorder="1" applyAlignment="1">
      <alignment vertical="top" wrapText="1"/>
    </xf>
    <xf numFmtId="167" fontId="25" fillId="0" borderId="2" xfId="3" applyNumberFormat="1" applyFont="1" applyBorder="1" applyAlignment="1">
      <alignment horizontal="right" vertical="top"/>
    </xf>
    <xf numFmtId="167" fontId="13" fillId="0" borderId="2" xfId="0" applyNumberFormat="1" applyFont="1" applyFill="1" applyBorder="1" applyAlignment="1" applyProtection="1">
      <alignment horizontal="center" vertical="center" wrapText="1"/>
    </xf>
    <xf numFmtId="167" fontId="27" fillId="0" borderId="2" xfId="3" applyNumberFormat="1" applyFont="1" applyFill="1" applyBorder="1" applyAlignment="1" applyProtection="1">
      <alignment horizontal="center" vertical="center"/>
    </xf>
    <xf numFmtId="167" fontId="47" fillId="0" borderId="2" xfId="0" applyNumberFormat="1" applyFont="1" applyFill="1" applyBorder="1" applyAlignment="1">
      <alignment vertical="center" wrapText="1"/>
    </xf>
    <xf numFmtId="167" fontId="47" fillId="0" borderId="2" xfId="0" applyNumberFormat="1" applyFont="1" applyFill="1" applyBorder="1" applyAlignment="1">
      <alignment horizontal="center" vertical="center"/>
    </xf>
    <xf numFmtId="49" fontId="24" fillId="0" borderId="0" xfId="0" applyNumberFormat="1" applyFont="1" applyFill="1" applyBorder="1" applyAlignment="1">
      <alignment horizontal="left" vertical="top" wrapText="1"/>
    </xf>
    <xf numFmtId="0" fontId="24" fillId="0" borderId="0" xfId="0" applyNumberFormat="1" applyFont="1" applyFill="1" applyBorder="1" applyAlignment="1">
      <alignment horizontal="left" vertical="top"/>
    </xf>
    <xf numFmtId="49" fontId="24" fillId="0" borderId="0" xfId="0" applyNumberFormat="1" applyFont="1" applyFill="1" applyBorder="1" applyAlignment="1">
      <alignment horizontal="center" vertical="top" wrapText="1"/>
    </xf>
    <xf numFmtId="49" fontId="24" fillId="5" borderId="0" xfId="0" applyNumberFormat="1" applyFont="1" applyFill="1" applyBorder="1" applyAlignment="1">
      <alignment horizontal="center" vertical="top" wrapText="1"/>
    </xf>
    <xf numFmtId="49" fontId="24" fillId="0" borderId="0" xfId="0" applyNumberFormat="1" applyFont="1" applyFill="1" applyBorder="1" applyAlignment="1">
      <alignment vertical="top"/>
    </xf>
    <xf numFmtId="167" fontId="24" fillId="0" borderId="0" xfId="3" applyNumberFormat="1" applyFont="1" applyFill="1" applyBorder="1" applyAlignment="1">
      <alignment horizontal="right" vertical="top"/>
    </xf>
    <xf numFmtId="0" fontId="24" fillId="0" borderId="0" xfId="1" applyFont="1" applyFill="1" applyAlignment="1">
      <alignment horizontal="left" vertical="top"/>
    </xf>
    <xf numFmtId="0" fontId="24" fillId="2" borderId="5" xfId="1" applyNumberFormat="1" applyFont="1" applyFill="1" applyBorder="1" applyAlignment="1">
      <alignment horizontal="left" vertical="center"/>
    </xf>
    <xf numFmtId="0" fontId="24" fillId="0" borderId="5" xfId="1" applyFont="1" applyFill="1" applyBorder="1" applyAlignment="1">
      <alignment horizontal="center" vertical="top"/>
    </xf>
    <xf numFmtId="0" fontId="24" fillId="0" borderId="0" xfId="1" applyFont="1" applyFill="1" applyAlignment="1">
      <alignment horizontal="center" vertical="top"/>
    </xf>
    <xf numFmtId="0" fontId="24" fillId="0" borderId="0" xfId="0" applyNumberFormat="1" applyFont="1" applyAlignment="1">
      <alignment horizontal="center" vertical="top" wrapText="1"/>
    </xf>
    <xf numFmtId="0" fontId="24" fillId="0" borderId="0" xfId="1" applyFont="1" applyFill="1" applyAlignment="1">
      <alignment horizontal="left" vertical="center"/>
    </xf>
    <xf numFmtId="0" fontId="24" fillId="0" borderId="0" xfId="1" applyNumberFormat="1" applyFont="1" applyFill="1" applyAlignment="1">
      <alignment horizontal="left" vertical="center"/>
    </xf>
    <xf numFmtId="168" fontId="24" fillId="0" borderId="0" xfId="1" applyNumberFormat="1" applyFont="1" applyFill="1" applyAlignment="1">
      <alignment horizontal="center" vertical="top"/>
    </xf>
    <xf numFmtId="49" fontId="24" fillId="0" borderId="0" xfId="1" applyNumberFormat="1" applyFont="1" applyFill="1" applyAlignment="1">
      <alignment horizontal="center" vertical="top"/>
    </xf>
    <xf numFmtId="14" fontId="18" fillId="0" borderId="2" xfId="0" applyNumberFormat="1" applyFont="1" applyFill="1" applyBorder="1" applyAlignment="1">
      <alignment horizontal="left" vertical="top" wrapText="1"/>
    </xf>
    <xf numFmtId="0" fontId="12" fillId="0" borderId="2" xfId="0" applyNumberFormat="1" applyFont="1" applyFill="1" applyBorder="1" applyAlignment="1">
      <alignment horizontal="center" vertical="center" wrapText="1"/>
    </xf>
    <xf numFmtId="0" fontId="17" fillId="0" borderId="2" xfId="0" applyFont="1" applyFill="1" applyBorder="1" applyAlignment="1">
      <alignment horizontal="center" vertical="top"/>
    </xf>
    <xf numFmtId="0" fontId="17" fillId="0" borderId="2" xfId="0" applyFont="1" applyFill="1" applyBorder="1" applyAlignment="1">
      <alignment horizontal="center" vertical="top" wrapText="1"/>
    </xf>
    <xf numFmtId="49" fontId="15" fillId="0" borderId="2" xfId="0" applyNumberFormat="1" applyFont="1" applyFill="1" applyBorder="1" applyAlignment="1">
      <alignment horizontal="center" vertical="top" wrapText="1"/>
    </xf>
    <xf numFmtId="0" fontId="11" fillId="0" borderId="2" xfId="0" applyFont="1" applyBorder="1" applyAlignment="1">
      <alignment horizontal="center" vertical="top"/>
    </xf>
    <xf numFmtId="14" fontId="11" fillId="0" borderId="2" xfId="0" applyNumberFormat="1" applyFont="1" applyBorder="1" applyAlignment="1">
      <alignment horizontal="center" vertical="top"/>
    </xf>
    <xf numFmtId="0" fontId="15" fillId="0" borderId="2" xfId="0" applyFont="1" applyBorder="1" applyAlignment="1">
      <alignment vertical="top" wrapText="1"/>
    </xf>
    <xf numFmtId="14" fontId="41" fillId="0" borderId="2" xfId="0" applyNumberFormat="1" applyFont="1" applyBorder="1" applyAlignment="1">
      <alignment horizontal="left" vertical="top"/>
    </xf>
    <xf numFmtId="0" fontId="15" fillId="0" borderId="2" xfId="0" applyFont="1" applyFill="1" applyBorder="1" applyAlignment="1">
      <alignment vertical="top"/>
    </xf>
    <xf numFmtId="0" fontId="17" fillId="0" borderId="2" xfId="0" applyFont="1" applyFill="1" applyBorder="1" applyAlignment="1">
      <alignment vertical="top" wrapText="1"/>
    </xf>
    <xf numFmtId="14" fontId="17" fillId="0" borderId="2" xfId="0" applyNumberFormat="1" applyFont="1" applyFill="1" applyBorder="1" applyAlignment="1">
      <alignment horizontal="center" vertical="top" wrapText="1"/>
    </xf>
    <xf numFmtId="16" fontId="18" fillId="0" borderId="2" xfId="0" applyNumberFormat="1" applyFont="1" applyFill="1" applyBorder="1" applyAlignment="1">
      <alignment horizontal="left" vertical="top"/>
    </xf>
    <xf numFmtId="14" fontId="19" fillId="0" borderId="2" xfId="0" applyNumberFormat="1" applyFont="1" applyFill="1" applyBorder="1" applyAlignment="1">
      <alignment horizontal="left" vertical="top" wrapText="1"/>
    </xf>
    <xf numFmtId="14" fontId="17" fillId="0" borderId="2" xfId="0" applyNumberFormat="1" applyFont="1" applyFill="1" applyBorder="1" applyAlignment="1">
      <alignment horizontal="left" vertical="top" wrapText="1"/>
    </xf>
    <xf numFmtId="14" fontId="17" fillId="0" borderId="2" xfId="0" applyNumberFormat="1" applyFont="1" applyFill="1" applyBorder="1" applyAlignment="1">
      <alignment horizontal="center" vertical="top"/>
    </xf>
    <xf numFmtId="14" fontId="15" fillId="0" borderId="2" xfId="0" applyNumberFormat="1" applyFont="1" applyFill="1" applyBorder="1" applyAlignment="1">
      <alignment horizontal="center" vertical="top" wrapText="1"/>
    </xf>
    <xf numFmtId="49" fontId="15" fillId="0" borderId="2" xfId="0" applyNumberFormat="1" applyFont="1" applyFill="1" applyBorder="1" applyAlignment="1">
      <alignment vertical="center" wrapText="1"/>
    </xf>
    <xf numFmtId="49" fontId="15" fillId="0" borderId="2" xfId="0" applyNumberFormat="1" applyFont="1" applyFill="1" applyBorder="1" applyAlignment="1">
      <alignment vertical="top" wrapText="1"/>
    </xf>
    <xf numFmtId="49" fontId="19" fillId="0" borderId="2" xfId="0" applyNumberFormat="1" applyFont="1" applyFill="1" applyBorder="1" applyAlignment="1">
      <alignment vertical="center" wrapText="1"/>
    </xf>
    <xf numFmtId="49" fontId="19" fillId="0" borderId="2" xfId="0" applyNumberFormat="1" applyFont="1" applyFill="1" applyBorder="1" applyAlignment="1">
      <alignment vertical="top" wrapText="1"/>
    </xf>
    <xf numFmtId="14" fontId="18" fillId="0" borderId="2" xfId="0" applyNumberFormat="1" applyFont="1" applyFill="1" applyBorder="1" applyAlignment="1">
      <alignment horizontal="center" vertical="top"/>
    </xf>
    <xf numFmtId="0" fontId="11" fillId="0" borderId="2" xfId="0" applyFont="1" applyBorder="1" applyAlignment="1">
      <alignment vertical="center"/>
    </xf>
    <xf numFmtId="14" fontId="6" fillId="0" borderId="2" xfId="0" applyNumberFormat="1" applyFont="1" applyFill="1" applyBorder="1" applyAlignment="1">
      <alignment horizontal="left" vertical="center" wrapText="1"/>
    </xf>
    <xf numFmtId="0" fontId="4" fillId="4" borderId="2" xfId="0" applyNumberFormat="1" applyFont="1" applyFill="1" applyBorder="1" applyAlignment="1">
      <alignment horizontal="left" vertical="top" wrapText="1"/>
    </xf>
    <xf numFmtId="49" fontId="13" fillId="0" borderId="2" xfId="0" applyNumberFormat="1" applyFont="1" applyFill="1" applyBorder="1" applyAlignment="1">
      <alignment horizontal="left" vertical="center" wrapText="1"/>
    </xf>
    <xf numFmtId="0" fontId="17" fillId="0" borderId="2" xfId="0" applyFont="1" applyFill="1" applyBorder="1" applyAlignment="1">
      <alignment horizontal="left" vertical="top"/>
    </xf>
    <xf numFmtId="0" fontId="15" fillId="0" borderId="2" xfId="0" applyNumberFormat="1" applyFont="1" applyFill="1" applyBorder="1" applyAlignment="1">
      <alignment horizontal="left" vertical="center" wrapText="1"/>
    </xf>
    <xf numFmtId="0" fontId="15" fillId="0" borderId="2" xfId="0" applyFont="1" applyFill="1" applyBorder="1" applyAlignment="1">
      <alignment horizontal="left" vertical="top" wrapText="1"/>
    </xf>
    <xf numFmtId="49" fontId="15" fillId="0" borderId="2" xfId="0" applyNumberFormat="1" applyFont="1" applyFill="1" applyBorder="1" applyAlignment="1">
      <alignment horizontal="left" vertical="top" wrapText="1"/>
    </xf>
    <xf numFmtId="14" fontId="15" fillId="0" borderId="2" xfId="0" applyNumberFormat="1" applyFont="1" applyFill="1" applyBorder="1" applyAlignment="1">
      <alignment horizontal="center" vertical="top" wrapText="1"/>
    </xf>
    <xf numFmtId="49" fontId="13" fillId="0" borderId="2" xfId="0" applyNumberFormat="1" applyFont="1" applyFill="1" applyBorder="1" applyAlignment="1">
      <alignment horizontal="left" vertical="top"/>
    </xf>
    <xf numFmtId="14" fontId="18" fillId="0" borderId="2" xfId="0" applyNumberFormat="1" applyFont="1" applyFill="1" applyBorder="1" applyAlignment="1">
      <alignment horizontal="center" vertical="top"/>
    </xf>
    <xf numFmtId="14" fontId="15" fillId="0" borderId="2" xfId="0" applyNumberFormat="1" applyFont="1" applyFill="1" applyBorder="1" applyAlignment="1">
      <alignment horizontal="left" vertical="top" wrapText="1"/>
    </xf>
    <xf numFmtId="14" fontId="17" fillId="0" borderId="2" xfId="0" applyNumberFormat="1" applyFont="1" applyFill="1" applyBorder="1" applyAlignment="1">
      <alignment horizontal="center" vertical="top" wrapText="1"/>
    </xf>
    <xf numFmtId="0" fontId="18" fillId="0" borderId="2" xfId="0" applyNumberFormat="1" applyFont="1" applyFill="1" applyBorder="1" applyAlignment="1">
      <alignment horizontal="left" vertical="top"/>
    </xf>
    <xf numFmtId="14" fontId="17" fillId="0" borderId="2" xfId="0" applyNumberFormat="1" applyFont="1" applyFill="1" applyBorder="1" applyAlignment="1">
      <alignment horizontal="center" vertical="top"/>
    </xf>
    <xf numFmtId="16" fontId="18" fillId="0" borderId="2" xfId="0" applyNumberFormat="1" applyFont="1" applyFill="1" applyBorder="1" applyAlignment="1">
      <alignment horizontal="left" vertical="top"/>
    </xf>
    <xf numFmtId="0" fontId="15" fillId="0" borderId="2" xfId="0" applyFont="1" applyFill="1" applyBorder="1" applyAlignment="1">
      <alignment horizontal="center" vertical="top" wrapText="1"/>
    </xf>
    <xf numFmtId="0" fontId="16" fillId="0" borderId="2" xfId="0" applyNumberFormat="1" applyFont="1" applyFill="1" applyBorder="1" applyAlignment="1">
      <alignment horizontal="left" vertical="top" wrapText="1"/>
    </xf>
    <xf numFmtId="0" fontId="12" fillId="0" borderId="2" xfId="0" applyFont="1" applyFill="1" applyBorder="1" applyAlignment="1">
      <alignment horizontal="left" vertical="top" wrapText="1"/>
    </xf>
    <xf numFmtId="14" fontId="13" fillId="0" borderId="2" xfId="0" applyNumberFormat="1" applyFont="1" applyFill="1" applyBorder="1" applyAlignment="1">
      <alignment horizontal="left" vertical="top" wrapText="1"/>
    </xf>
    <xf numFmtId="14" fontId="17" fillId="0" borderId="2" xfId="0" applyNumberFormat="1" applyFont="1" applyFill="1" applyBorder="1" applyAlignment="1">
      <alignment horizontal="left" vertical="top" wrapText="1"/>
    </xf>
    <xf numFmtId="14" fontId="19" fillId="0" borderId="2"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14" fontId="6" fillId="0" borderId="2" xfId="0" applyNumberFormat="1" applyFont="1" applyFill="1" applyBorder="1" applyAlignment="1">
      <alignment horizontal="center" vertical="center" wrapText="1"/>
    </xf>
    <xf numFmtId="0" fontId="15" fillId="0" borderId="2" xfId="0" applyFont="1" applyFill="1" applyBorder="1" applyAlignment="1">
      <alignment horizontal="left" vertical="top"/>
    </xf>
    <xf numFmtId="0" fontId="17" fillId="0" borderId="2" xfId="0" applyFont="1" applyFill="1" applyBorder="1" applyAlignment="1">
      <alignment horizontal="center" vertical="top" wrapText="1"/>
    </xf>
    <xf numFmtId="0" fontId="17" fillId="0" borderId="2" xfId="0" applyFont="1" applyFill="1" applyBorder="1" applyAlignment="1">
      <alignment horizontal="center" vertical="top"/>
    </xf>
    <xf numFmtId="0" fontId="4" fillId="7" borderId="2" xfId="0" applyNumberFormat="1" applyFont="1" applyFill="1" applyBorder="1" applyAlignment="1">
      <alignment horizontal="left" vertical="center" wrapText="1"/>
    </xf>
    <xf numFmtId="0" fontId="7" fillId="7" borderId="2" xfId="0" applyNumberFormat="1" applyFont="1" applyFill="1" applyBorder="1" applyAlignment="1">
      <alignment horizontal="left" vertical="center" wrapText="1"/>
    </xf>
    <xf numFmtId="14" fontId="12"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top" wrapText="1"/>
    </xf>
    <xf numFmtId="167" fontId="47" fillId="0" borderId="2" xfId="0" applyNumberFormat="1" applyFont="1" applyFill="1" applyBorder="1" applyAlignment="1">
      <alignment horizontal="center" vertical="center" wrapText="1"/>
    </xf>
    <xf numFmtId="167" fontId="13" fillId="0" borderId="2" xfId="3" applyNumberFormat="1" applyFont="1" applyFill="1" applyBorder="1" applyAlignment="1" applyProtection="1">
      <alignment horizontal="center" vertical="center"/>
    </xf>
    <xf numFmtId="0" fontId="13" fillId="0" borderId="2" xfId="0" applyNumberFormat="1" applyFont="1" applyFill="1" applyBorder="1" applyAlignment="1">
      <alignment horizontal="left" vertical="top" wrapText="1"/>
    </xf>
    <xf numFmtId="14" fontId="24" fillId="0" borderId="2" xfId="0" applyNumberFormat="1" applyFont="1" applyFill="1" applyBorder="1" applyAlignment="1">
      <alignment horizontal="left" vertical="top" wrapText="1"/>
    </xf>
    <xf numFmtId="0" fontId="13" fillId="0" borderId="2" xfId="0" applyNumberFormat="1" applyFont="1" applyFill="1" applyBorder="1" applyAlignment="1">
      <alignment horizontal="center" vertical="center" wrapText="1"/>
    </xf>
    <xf numFmtId="14" fontId="17" fillId="0" borderId="2" xfId="0" applyNumberFormat="1" applyFont="1" applyFill="1" applyBorder="1" applyAlignment="1">
      <alignment horizontal="center" vertical="center" wrapText="1"/>
    </xf>
    <xf numFmtId="4" fontId="47" fillId="0" borderId="2" xfId="0"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top" wrapText="1"/>
    </xf>
    <xf numFmtId="49" fontId="13" fillId="0" borderId="2" xfId="0" applyNumberFormat="1" applyFont="1" applyFill="1" applyBorder="1" applyAlignment="1">
      <alignment horizontal="center" vertical="top"/>
    </xf>
    <xf numFmtId="49" fontId="13" fillId="0" borderId="2" xfId="0" applyNumberFormat="1" applyFont="1" applyFill="1" applyBorder="1" applyAlignment="1">
      <alignment vertical="top"/>
    </xf>
    <xf numFmtId="0" fontId="38" fillId="0" borderId="2" xfId="0" applyFont="1" applyBorder="1" applyAlignment="1">
      <alignment horizontal="center" vertical="top"/>
    </xf>
    <xf numFmtId="0" fontId="13" fillId="0" borderId="2" xfId="0" applyFont="1" applyBorder="1" applyAlignment="1">
      <alignment wrapText="1"/>
    </xf>
    <xf numFmtId="0" fontId="38" fillId="0" borderId="2" xfId="0" applyFont="1" applyBorder="1" applyAlignment="1"/>
    <xf numFmtId="0" fontId="13" fillId="0" borderId="2" xfId="0" applyFont="1" applyBorder="1" applyAlignment="1">
      <alignment horizontal="left" vertical="top" wrapText="1"/>
    </xf>
    <xf numFmtId="0" fontId="38" fillId="0" borderId="2" xfId="0" applyFont="1" applyBorder="1" applyAlignment="1">
      <alignment horizontal="left" vertical="top" wrapText="1"/>
    </xf>
    <xf numFmtId="0" fontId="13" fillId="0" borderId="2" xfId="0" applyFont="1" applyFill="1" applyBorder="1" applyAlignment="1">
      <alignment horizontal="center" vertical="center"/>
    </xf>
    <xf numFmtId="49" fontId="13" fillId="0" borderId="2" xfId="0" applyNumberFormat="1" applyFont="1" applyBorder="1" applyAlignment="1">
      <alignment horizontal="left" vertical="top"/>
    </xf>
    <xf numFmtId="0" fontId="13" fillId="0" borderId="2" xfId="0" applyFont="1" applyBorder="1" applyAlignment="1">
      <alignment horizontal="left" vertical="top"/>
    </xf>
    <xf numFmtId="0" fontId="38" fillId="0" borderId="2" xfId="0" applyFont="1" applyBorder="1" applyAlignment="1">
      <alignment horizontal="left" vertical="top"/>
    </xf>
    <xf numFmtId="0" fontId="13" fillId="0" borderId="2" xfId="0" applyFont="1" applyFill="1" applyBorder="1" applyAlignment="1">
      <alignment horizontal="left" vertical="top" wrapText="1"/>
    </xf>
    <xf numFmtId="49" fontId="13" fillId="0" borderId="2" xfId="0" applyNumberFormat="1" applyFont="1" applyFill="1" applyBorder="1" applyAlignment="1">
      <alignment horizontal="center" vertical="top" wrapText="1"/>
    </xf>
    <xf numFmtId="0" fontId="38" fillId="0" borderId="2" xfId="0" applyFont="1" applyBorder="1" applyAlignment="1">
      <alignment horizontal="center" vertical="top" wrapText="1"/>
    </xf>
    <xf numFmtId="0" fontId="13" fillId="0" borderId="2" xfId="0" applyFont="1" applyFill="1" applyBorder="1" applyAlignment="1">
      <alignment horizontal="center" vertical="top" wrapText="1"/>
    </xf>
    <xf numFmtId="0" fontId="13" fillId="0" borderId="2" xfId="0" applyFont="1" applyBorder="1" applyAlignment="1">
      <alignment horizontal="center" vertical="top" wrapText="1"/>
    </xf>
    <xf numFmtId="0" fontId="13" fillId="0" borderId="2" xfId="0" applyFont="1" applyBorder="1" applyAlignment="1">
      <alignment vertical="top"/>
    </xf>
    <xf numFmtId="0" fontId="38" fillId="0" borderId="2" xfId="0" applyFont="1" applyBorder="1" applyAlignment="1">
      <alignment vertical="top"/>
    </xf>
    <xf numFmtId="0" fontId="38" fillId="0" borderId="2" xfId="0" applyFont="1" applyBorder="1"/>
    <xf numFmtId="167" fontId="13" fillId="0" borderId="2" xfId="3" applyNumberFormat="1" applyFont="1" applyFill="1" applyBorder="1" applyAlignment="1">
      <alignment horizontal="center" vertical="top"/>
    </xf>
    <xf numFmtId="0" fontId="13" fillId="0" borderId="2" xfId="0" applyFont="1" applyFill="1" applyBorder="1" applyAlignment="1">
      <alignment horizontal="center" vertical="top"/>
    </xf>
    <xf numFmtId="0" fontId="13" fillId="0" borderId="2" xfId="0" applyNumberFormat="1" applyFont="1" applyFill="1" applyBorder="1" applyAlignment="1">
      <alignment horizontal="center" vertical="top" wrapText="1"/>
    </xf>
    <xf numFmtId="49" fontId="4" fillId="3" borderId="6" xfId="0" applyNumberFormat="1" applyFont="1" applyFill="1" applyBorder="1" applyAlignment="1">
      <alignment horizontal="right" vertical="center" wrapText="1"/>
    </xf>
    <xf numFmtId="49" fontId="4" fillId="3" borderId="7" xfId="0" applyNumberFormat="1" applyFont="1" applyFill="1" applyBorder="1" applyAlignment="1">
      <alignment horizontal="right" vertical="center" wrapText="1"/>
    </xf>
    <xf numFmtId="49" fontId="4" fillId="3" borderId="8" xfId="0" applyNumberFormat="1" applyFont="1" applyFill="1" applyBorder="1" applyAlignment="1">
      <alignment horizontal="right" vertical="center" wrapText="1"/>
    </xf>
    <xf numFmtId="14" fontId="13" fillId="0" borderId="11" xfId="0" applyNumberFormat="1" applyFont="1" applyFill="1" applyBorder="1" applyAlignment="1">
      <alignment horizontal="left" vertical="center" wrapText="1"/>
    </xf>
    <xf numFmtId="14" fontId="13" fillId="0" borderId="10" xfId="0" applyNumberFormat="1" applyFont="1" applyFill="1" applyBorder="1" applyAlignment="1">
      <alignment horizontal="left" vertical="center" wrapText="1"/>
    </xf>
    <xf numFmtId="0" fontId="13" fillId="0" borderId="11" xfId="0" applyFont="1" applyFill="1" applyBorder="1" applyAlignment="1">
      <alignment horizontal="left" vertical="top" wrapText="1"/>
    </xf>
    <xf numFmtId="0" fontId="38" fillId="0" borderId="9" xfId="0" applyFont="1" applyFill="1" applyBorder="1"/>
    <xf numFmtId="0" fontId="38" fillId="0" borderId="10" xfId="0" applyFont="1" applyFill="1" applyBorder="1"/>
    <xf numFmtId="14" fontId="13" fillId="0" borderId="11" xfId="0" applyNumberFormat="1" applyFont="1" applyFill="1" applyBorder="1" applyAlignment="1">
      <alignment horizontal="left" vertical="top" wrapText="1"/>
    </xf>
    <xf numFmtId="14" fontId="13" fillId="0" borderId="9" xfId="0" applyNumberFormat="1" applyFont="1" applyFill="1" applyBorder="1" applyAlignment="1">
      <alignment horizontal="left" vertical="top" wrapText="1"/>
    </xf>
    <xf numFmtId="14" fontId="13" fillId="0" borderId="10" xfId="0" applyNumberFormat="1" applyFont="1" applyFill="1" applyBorder="1" applyAlignment="1">
      <alignment horizontal="left" vertical="top" wrapText="1"/>
    </xf>
    <xf numFmtId="0" fontId="13" fillId="0" borderId="11" xfId="0" applyFont="1" applyFill="1" applyBorder="1" applyAlignment="1">
      <alignment horizontal="left" vertical="center" wrapText="1"/>
    </xf>
    <xf numFmtId="0" fontId="13" fillId="0" borderId="9" xfId="0"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49" fontId="13" fillId="0" borderId="2" xfId="0" applyNumberFormat="1" applyFont="1" applyFill="1" applyBorder="1" applyAlignment="1">
      <alignment horizontal="left" vertical="top" wrapText="1"/>
    </xf>
    <xf numFmtId="0" fontId="13" fillId="0" borderId="11" xfId="0" applyFont="1" applyFill="1" applyBorder="1" applyAlignment="1">
      <alignment horizontal="center" vertical="top" wrapText="1"/>
    </xf>
    <xf numFmtId="0" fontId="13" fillId="0" borderId="9" xfId="0" applyFont="1" applyFill="1" applyBorder="1" applyAlignment="1">
      <alignment horizontal="center" vertical="top" wrapText="1"/>
    </xf>
    <xf numFmtId="0" fontId="13" fillId="0" borderId="10" xfId="0" applyFont="1" applyFill="1" applyBorder="1" applyAlignment="1">
      <alignment horizontal="center" vertical="top" wrapText="1"/>
    </xf>
    <xf numFmtId="14" fontId="13" fillId="0" borderId="11" xfId="0" applyNumberFormat="1" applyFont="1" applyFill="1" applyBorder="1" applyAlignment="1">
      <alignment horizontal="center" vertical="top" wrapText="1"/>
    </xf>
    <xf numFmtId="14" fontId="13" fillId="0" borderId="10" xfId="0" applyNumberFormat="1" applyFont="1" applyFill="1" applyBorder="1" applyAlignment="1">
      <alignment horizontal="center" vertical="top" wrapText="1"/>
    </xf>
    <xf numFmtId="0" fontId="16" fillId="0" borderId="3" xfId="0" applyNumberFormat="1" applyFont="1" applyFill="1" applyBorder="1" applyAlignment="1">
      <alignment horizontal="left" vertical="top" wrapText="1"/>
    </xf>
    <xf numFmtId="0" fontId="13" fillId="0" borderId="10" xfId="0" applyFont="1" applyFill="1" applyBorder="1" applyAlignment="1">
      <alignment horizontal="center" vertical="top"/>
    </xf>
    <xf numFmtId="0" fontId="13" fillId="0" borderId="9" xfId="0" applyFont="1" applyFill="1" applyBorder="1" applyAlignment="1">
      <alignment horizontal="center" vertical="top"/>
    </xf>
    <xf numFmtId="0" fontId="4" fillId="7" borderId="2" xfId="0" applyFont="1" applyFill="1" applyBorder="1" applyAlignment="1">
      <alignment horizontal="left" vertical="center" wrapText="1"/>
    </xf>
    <xf numFmtId="14" fontId="17" fillId="0" borderId="2" xfId="0" applyNumberFormat="1" applyFont="1" applyFill="1" applyBorder="1" applyAlignment="1">
      <alignment horizontal="center" vertical="center"/>
    </xf>
    <xf numFmtId="14" fontId="17" fillId="0" borderId="2" xfId="0" applyNumberFormat="1" applyFont="1" applyBorder="1" applyAlignment="1">
      <alignment horizontal="center" vertical="top"/>
    </xf>
    <xf numFmtId="14" fontId="13" fillId="0" borderId="2" xfId="0" applyNumberFormat="1" applyFont="1" applyBorder="1" applyAlignment="1">
      <alignment horizontal="center" vertical="top"/>
    </xf>
    <xf numFmtId="14" fontId="13" fillId="0" borderId="2" xfId="0" applyNumberFormat="1" applyFont="1" applyBorder="1" applyAlignment="1">
      <alignment horizontal="center" vertical="top" wrapText="1"/>
    </xf>
    <xf numFmtId="0" fontId="16" fillId="0" borderId="2" xfId="0" applyFont="1" applyBorder="1" applyAlignment="1">
      <alignment horizontal="left" vertical="top" wrapText="1"/>
    </xf>
    <xf numFmtId="0" fontId="4" fillId="0" borderId="2" xfId="0" applyFont="1" applyBorder="1" applyAlignment="1">
      <alignment horizontal="left" vertical="top" wrapText="1"/>
    </xf>
    <xf numFmtId="14" fontId="13" fillId="0" borderId="2" xfId="0" applyNumberFormat="1" applyFont="1" applyBorder="1" applyAlignment="1">
      <alignment horizontal="left" vertical="top" wrapText="1"/>
    </xf>
    <xf numFmtId="49" fontId="13" fillId="0" borderId="2" xfId="0" applyNumberFormat="1" applyFont="1" applyBorder="1" applyAlignment="1">
      <alignment horizontal="left" vertical="top" wrapText="1"/>
    </xf>
    <xf numFmtId="49" fontId="13" fillId="0" borderId="2" xfId="0" applyNumberFormat="1" applyFont="1" applyBorder="1" applyAlignment="1">
      <alignment horizontal="center" vertical="top" wrapText="1"/>
    </xf>
    <xf numFmtId="165" fontId="24" fillId="0" borderId="2" xfId="0" applyNumberFormat="1" applyFont="1" applyFill="1" applyBorder="1" applyAlignment="1">
      <alignment horizontal="center" vertical="center" wrapText="1"/>
    </xf>
    <xf numFmtId="167" fontId="24" fillId="0" borderId="2" xfId="3" applyNumberFormat="1" applyFont="1" applyFill="1" applyBorder="1" applyAlignment="1">
      <alignment horizontal="center" vertical="center" wrapText="1"/>
    </xf>
    <xf numFmtId="49" fontId="24" fillId="0" borderId="2" xfId="0" applyNumberFormat="1" applyFont="1" applyFill="1" applyBorder="1" applyAlignment="1">
      <alignment horizontal="center" vertical="center" wrapText="1"/>
    </xf>
    <xf numFmtId="166" fontId="24" fillId="0" borderId="2" xfId="0" applyNumberFormat="1" applyFont="1" applyFill="1" applyBorder="1" applyAlignment="1">
      <alignment horizontal="center" vertical="center" wrapText="1"/>
    </xf>
    <xf numFmtId="166" fontId="24" fillId="0" borderId="2" xfId="0" applyNumberFormat="1" applyFont="1" applyFill="1" applyBorder="1" applyAlignment="1">
      <alignment horizontal="center" vertical="center"/>
    </xf>
    <xf numFmtId="49" fontId="24" fillId="0" borderId="2" xfId="0" applyNumberFormat="1" applyFont="1" applyFill="1" applyBorder="1" applyAlignment="1">
      <alignment horizontal="center" vertical="top" wrapText="1"/>
    </xf>
    <xf numFmtId="0" fontId="45" fillId="0" borderId="0" xfId="0" applyNumberFormat="1" applyFont="1" applyAlignment="1">
      <alignment vertical="center" wrapText="1"/>
    </xf>
    <xf numFmtId="0" fontId="45" fillId="0" borderId="0" xfId="0" applyNumberFormat="1" applyFont="1" applyAlignment="1">
      <alignment horizontal="center" vertical="top" wrapText="1"/>
    </xf>
    <xf numFmtId="0" fontId="45" fillId="0" borderId="0" xfId="0" applyNumberFormat="1" applyFont="1" applyAlignment="1">
      <alignment horizontal="center" vertical="center" wrapText="1"/>
    </xf>
    <xf numFmtId="0" fontId="45" fillId="0" borderId="0" xfId="0" applyNumberFormat="1" applyFont="1" applyAlignment="1">
      <alignment horizontal="right" vertical="top" wrapText="1"/>
    </xf>
    <xf numFmtId="167" fontId="45" fillId="0" borderId="2" xfId="3" applyNumberFormat="1" applyFont="1" applyFill="1" applyBorder="1" applyAlignment="1">
      <alignment horizontal="center" vertical="center" wrapText="1"/>
    </xf>
    <xf numFmtId="0" fontId="24" fillId="0" borderId="2" xfId="0" applyNumberFormat="1" applyFont="1" applyFill="1" applyBorder="1" applyAlignment="1">
      <alignment horizontal="center" vertical="center" wrapText="1"/>
    </xf>
    <xf numFmtId="0" fontId="24" fillId="0" borderId="0" xfId="0" applyNumberFormat="1" applyFont="1" applyAlignment="1">
      <alignment horizontal="center" vertical="top" wrapText="1"/>
    </xf>
    <xf numFmtId="167" fontId="13" fillId="0" borderId="0" xfId="3" applyNumberFormat="1" applyFont="1" applyAlignment="1">
      <alignment horizontal="center" vertical="center" wrapText="1"/>
    </xf>
    <xf numFmtId="167" fontId="13" fillId="0" borderId="0" xfId="3" applyNumberFormat="1" applyFont="1" applyAlignment="1">
      <alignment horizontal="center" vertical="center"/>
    </xf>
    <xf numFmtId="0" fontId="45" fillId="0" borderId="2" xfId="0" applyNumberFormat="1" applyFont="1" applyFill="1" applyBorder="1" applyAlignment="1">
      <alignment horizontal="left" vertical="top" wrapText="1"/>
    </xf>
    <xf numFmtId="0" fontId="45" fillId="7" borderId="2" xfId="0" applyNumberFormat="1" applyFont="1" applyFill="1" applyBorder="1" applyAlignment="1">
      <alignment horizontal="left" vertical="center" wrapText="1"/>
    </xf>
    <xf numFmtId="0" fontId="4" fillId="0" borderId="3" xfId="0" applyNumberFormat="1" applyFont="1" applyFill="1" applyBorder="1" applyAlignment="1">
      <alignment horizontal="left" vertical="top" wrapText="1"/>
    </xf>
    <xf numFmtId="0" fontId="30" fillId="0" borderId="6" xfId="0" applyNumberFormat="1" applyFont="1" applyFill="1" applyBorder="1" applyAlignment="1">
      <alignment horizontal="center" vertical="top" wrapText="1"/>
    </xf>
    <xf numFmtId="0" fontId="30" fillId="0" borderId="7" xfId="0" applyNumberFormat="1" applyFont="1" applyFill="1" applyBorder="1" applyAlignment="1">
      <alignment horizontal="center" vertical="top" wrapText="1"/>
    </xf>
    <xf numFmtId="0" fontId="30" fillId="0" borderId="8" xfId="0" applyNumberFormat="1" applyFont="1" applyFill="1" applyBorder="1" applyAlignment="1">
      <alignment horizontal="center" vertical="top" wrapText="1"/>
    </xf>
    <xf numFmtId="0" fontId="13" fillId="0" borderId="6" xfId="0" applyNumberFormat="1" applyFont="1" applyFill="1" applyBorder="1" applyAlignment="1">
      <alignment horizontal="left" vertical="top" wrapText="1"/>
    </xf>
    <xf numFmtId="0" fontId="13" fillId="0" borderId="7" xfId="0" applyNumberFormat="1" applyFont="1" applyFill="1" applyBorder="1" applyAlignment="1">
      <alignment horizontal="left" vertical="top" wrapText="1"/>
    </xf>
    <xf numFmtId="0" fontId="13" fillId="0" borderId="8" xfId="0" applyNumberFormat="1" applyFont="1" applyFill="1" applyBorder="1" applyAlignment="1">
      <alignment horizontal="left" vertical="top" wrapText="1"/>
    </xf>
    <xf numFmtId="0" fontId="13" fillId="0" borderId="10" xfId="0" applyFont="1" applyFill="1" applyBorder="1" applyAlignment="1">
      <alignment horizontal="left" vertical="top"/>
    </xf>
    <xf numFmtId="0" fontId="13" fillId="0" borderId="9" xfId="0" applyFont="1" applyFill="1" applyBorder="1" applyAlignment="1">
      <alignment horizontal="left" vertical="top" wrapText="1"/>
    </xf>
    <xf numFmtId="0" fontId="13" fillId="0" borderId="9" xfId="0" applyFont="1" applyFill="1" applyBorder="1" applyAlignment="1">
      <alignment horizontal="left" vertical="top"/>
    </xf>
    <xf numFmtId="0" fontId="4" fillId="0" borderId="6"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49" fontId="24" fillId="0" borderId="2" xfId="0" applyNumberFormat="1" applyFont="1" applyFill="1" applyBorder="1" applyAlignment="1">
      <alignment horizontal="left" vertical="top" wrapText="1"/>
    </xf>
    <xf numFmtId="0" fontId="12" fillId="0" borderId="11" xfId="0" applyNumberFormat="1" applyFont="1" applyFill="1" applyBorder="1" applyAlignment="1" applyProtection="1">
      <alignment horizontal="center" vertical="center" wrapText="1" shrinkToFit="1"/>
      <protection locked="0"/>
    </xf>
    <xf numFmtId="0" fontId="12" fillId="0" borderId="9" xfId="0" applyNumberFormat="1" applyFont="1" applyFill="1" applyBorder="1" applyAlignment="1" applyProtection="1">
      <alignment horizontal="center" vertical="center" wrapText="1" shrinkToFit="1"/>
      <protection locked="0"/>
    </xf>
    <xf numFmtId="0" fontId="6" fillId="0" borderId="11" xfId="0" applyFont="1" applyFill="1" applyBorder="1" applyAlignment="1">
      <alignment horizontal="center" vertical="top" wrapText="1"/>
    </xf>
    <xf numFmtId="0" fontId="6" fillId="0" borderId="9" xfId="0" applyFont="1" applyFill="1" applyBorder="1" applyAlignment="1">
      <alignment horizontal="center" vertical="top" wrapText="1"/>
    </xf>
    <xf numFmtId="0" fontId="12" fillId="0" borderId="11" xfId="0" applyFont="1" applyFill="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14" fontId="6" fillId="0" borderId="11" xfId="0" applyNumberFormat="1" applyFont="1" applyFill="1" applyBorder="1" applyAlignment="1">
      <alignment horizontal="left" vertical="top" wrapText="1"/>
    </xf>
    <xf numFmtId="14" fontId="6" fillId="0" borderId="9" xfId="0" applyNumberFormat="1" applyFont="1" applyFill="1" applyBorder="1" applyAlignment="1">
      <alignment horizontal="left" vertical="top" wrapText="1"/>
    </xf>
    <xf numFmtId="14" fontId="6" fillId="0" borderId="10" xfId="0" applyNumberFormat="1" applyFont="1" applyFill="1" applyBorder="1" applyAlignment="1">
      <alignment horizontal="left" vertical="top" wrapText="1"/>
    </xf>
    <xf numFmtId="0" fontId="12" fillId="0" borderId="11" xfId="0" applyFont="1" applyFill="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0" fillId="0" borderId="10" xfId="0" applyBorder="1" applyAlignment="1">
      <alignment horizontal="center" vertical="top" wrapText="1"/>
    </xf>
    <xf numFmtId="0" fontId="12" fillId="0" borderId="9" xfId="0" applyFont="1" applyFill="1" applyBorder="1" applyAlignment="1">
      <alignment horizontal="center" vertical="top" wrapText="1"/>
    </xf>
    <xf numFmtId="0" fontId="12" fillId="0" borderId="10" xfId="0" applyFont="1" applyFill="1" applyBorder="1" applyAlignment="1">
      <alignment horizontal="center" vertical="top" wrapText="1"/>
    </xf>
    <xf numFmtId="14" fontId="6" fillId="0" borderId="11" xfId="0" applyNumberFormat="1" applyFont="1" applyFill="1" applyBorder="1" applyAlignment="1">
      <alignment horizontal="center" vertical="top" wrapText="1"/>
    </xf>
    <xf numFmtId="14" fontId="6" fillId="0" borderId="9" xfId="0" applyNumberFormat="1" applyFont="1" applyFill="1" applyBorder="1" applyAlignment="1">
      <alignment horizontal="center" vertical="top" wrapText="1"/>
    </xf>
    <xf numFmtId="0" fontId="10" fillId="0" borderId="9" xfId="0" applyFont="1" applyBorder="1" applyAlignment="1">
      <alignment horizontal="center" vertical="top"/>
    </xf>
    <xf numFmtId="0" fontId="10" fillId="0" borderId="10" xfId="0" applyFont="1" applyBorder="1" applyAlignment="1">
      <alignment horizontal="center" vertical="top"/>
    </xf>
    <xf numFmtId="14" fontId="13" fillId="0" borderId="9" xfId="0" applyNumberFormat="1" applyFont="1" applyFill="1" applyBorder="1" applyAlignment="1">
      <alignment horizontal="center" vertical="top" wrapText="1"/>
    </xf>
    <xf numFmtId="0" fontId="0" fillId="0" borderId="9" xfId="0" applyBorder="1" applyAlignment="1">
      <alignment horizontal="center" vertical="top" wrapText="1"/>
    </xf>
    <xf numFmtId="0" fontId="13" fillId="0" borderId="11" xfId="0" applyNumberFormat="1" applyFont="1" applyFill="1" applyBorder="1" applyAlignment="1">
      <alignment horizontal="center" vertical="top" wrapText="1"/>
    </xf>
    <xf numFmtId="0" fontId="13" fillId="0" borderId="10" xfId="0" applyNumberFormat="1" applyFont="1" applyFill="1" applyBorder="1" applyAlignment="1">
      <alignment horizontal="center" vertical="top" wrapText="1"/>
    </xf>
    <xf numFmtId="0" fontId="12" fillId="0" borderId="10" xfId="0" applyFont="1" applyFill="1" applyBorder="1" applyAlignment="1">
      <alignment horizontal="center" vertical="top"/>
    </xf>
    <xf numFmtId="49" fontId="12" fillId="0" borderId="11" xfId="0" applyNumberFormat="1" applyFont="1" applyFill="1" applyBorder="1" applyAlignment="1">
      <alignment vertical="top" wrapText="1"/>
    </xf>
    <xf numFmtId="49" fontId="12" fillId="0" borderId="9" xfId="0" applyNumberFormat="1" applyFont="1" applyFill="1" applyBorder="1" applyAlignment="1">
      <alignment vertical="top" wrapText="1"/>
    </xf>
    <xf numFmtId="49" fontId="12" fillId="0" borderId="11" xfId="0" applyNumberFormat="1" applyFont="1" applyFill="1" applyBorder="1" applyAlignment="1">
      <alignment horizontal="center" vertical="top" wrapText="1"/>
    </xf>
    <xf numFmtId="49" fontId="12" fillId="0" borderId="9" xfId="0" applyNumberFormat="1" applyFont="1" applyFill="1" applyBorder="1" applyAlignment="1">
      <alignment horizontal="center" vertical="top" wrapText="1"/>
    </xf>
    <xf numFmtId="49" fontId="12" fillId="0" borderId="10" xfId="0" applyNumberFormat="1" applyFont="1" applyFill="1" applyBorder="1" applyAlignment="1">
      <alignment horizontal="center" vertical="top" wrapText="1"/>
    </xf>
    <xf numFmtId="0" fontId="29" fillId="0" borderId="11" xfId="0" applyFont="1" applyFill="1" applyBorder="1" applyAlignment="1">
      <alignment horizontal="center" vertical="top" wrapText="1"/>
    </xf>
    <xf numFmtId="0" fontId="29" fillId="0" borderId="9" xfId="0" applyFont="1" applyFill="1" applyBorder="1" applyAlignment="1">
      <alignment horizontal="center" vertical="top" wrapText="1"/>
    </xf>
    <xf numFmtId="0" fontId="29" fillId="0" borderId="10" xfId="0" applyFont="1" applyFill="1" applyBorder="1" applyAlignment="1">
      <alignment horizontal="center" vertical="top" wrapText="1"/>
    </xf>
    <xf numFmtId="0" fontId="29" fillId="0" borderId="10" xfId="0" applyFont="1" applyFill="1" applyBorder="1" applyAlignment="1">
      <alignment horizontal="center" vertical="top"/>
    </xf>
    <xf numFmtId="0" fontId="29" fillId="0" borderId="9" xfId="0" applyFont="1" applyFill="1" applyBorder="1" applyAlignment="1">
      <alignment horizontal="center" vertical="top"/>
    </xf>
    <xf numFmtId="14" fontId="29" fillId="0" borderId="11" xfId="0" applyNumberFormat="1" applyFont="1" applyFill="1" applyBorder="1" applyAlignment="1">
      <alignment horizontal="center" vertical="top" wrapText="1"/>
    </xf>
    <xf numFmtId="14" fontId="29" fillId="0" borderId="10" xfId="0" applyNumberFormat="1" applyFont="1" applyFill="1" applyBorder="1" applyAlignment="1">
      <alignment horizontal="center" vertical="top" wrapText="1"/>
    </xf>
    <xf numFmtId="0" fontId="4" fillId="0" borderId="0" xfId="0" applyNumberFormat="1" applyFont="1" applyAlignment="1">
      <alignment horizontal="center" vertical="top" wrapText="1"/>
    </xf>
    <xf numFmtId="0" fontId="48" fillId="0" borderId="0" xfId="0" applyFont="1" applyAlignment="1">
      <alignment vertical="center"/>
    </xf>
    <xf numFmtId="167" fontId="48" fillId="0" borderId="0" xfId="0" applyNumberFormat="1" applyFont="1" applyAlignment="1">
      <alignment vertical="center"/>
    </xf>
    <xf numFmtId="0" fontId="48" fillId="0" borderId="0" xfId="0" applyFont="1" applyFill="1" applyAlignment="1">
      <alignment vertical="center"/>
    </xf>
    <xf numFmtId="0" fontId="48" fillId="3" borderId="0" xfId="0" applyFont="1" applyFill="1" applyAlignment="1">
      <alignment vertical="center"/>
    </xf>
    <xf numFmtId="0" fontId="34" fillId="0" borderId="0" xfId="0" applyFont="1" applyBorder="1" applyAlignment="1">
      <alignment vertical="center"/>
    </xf>
    <xf numFmtId="0" fontId="34" fillId="0" borderId="0" xfId="0" applyFont="1"/>
    <xf numFmtId="49" fontId="35" fillId="3" borderId="2" xfId="0" applyNumberFormat="1" applyFont="1" applyFill="1" applyBorder="1" applyAlignment="1">
      <alignment horizontal="left" vertical="center" wrapText="1"/>
    </xf>
    <xf numFmtId="49" fontId="35" fillId="3" borderId="2" xfId="0" applyNumberFormat="1" applyFont="1" applyFill="1" applyBorder="1" applyAlignment="1">
      <alignment horizontal="center" vertical="top" wrapText="1"/>
    </xf>
    <xf numFmtId="49" fontId="35" fillId="3" borderId="2" xfId="0" applyNumberFormat="1" applyFont="1" applyFill="1" applyBorder="1" applyAlignment="1">
      <alignment vertical="top" wrapText="1"/>
    </xf>
    <xf numFmtId="49" fontId="35" fillId="3" borderId="2" xfId="0" applyNumberFormat="1" applyFont="1" applyFill="1" applyBorder="1" applyAlignment="1">
      <alignment horizontal="center" vertical="center" wrapText="1"/>
    </xf>
    <xf numFmtId="167" fontId="35" fillId="3" borderId="2" xfId="3" applyNumberFormat="1" applyFont="1" applyFill="1" applyBorder="1" applyAlignment="1">
      <alignment horizontal="right" vertical="top" wrapText="1"/>
    </xf>
    <xf numFmtId="0" fontId="35" fillId="7" borderId="2" xfId="0" applyNumberFormat="1" applyFont="1" applyFill="1" applyBorder="1" applyAlignment="1">
      <alignment horizontal="left" vertical="center" wrapText="1"/>
    </xf>
    <xf numFmtId="167" fontId="35" fillId="7" borderId="2" xfId="3" applyNumberFormat="1" applyFont="1" applyFill="1" applyBorder="1" applyAlignment="1">
      <alignment horizontal="right" vertical="top"/>
    </xf>
    <xf numFmtId="0" fontId="35" fillId="0" borderId="2" xfId="0" applyNumberFormat="1" applyFont="1" applyFill="1" applyBorder="1" applyAlignment="1">
      <alignment horizontal="left" vertical="top"/>
    </xf>
    <xf numFmtId="0" fontId="34" fillId="0" borderId="2" xfId="0" applyNumberFormat="1" applyFont="1" applyFill="1" applyBorder="1" applyAlignment="1">
      <alignment horizontal="left" vertical="top" wrapText="1"/>
    </xf>
    <xf numFmtId="14" fontId="34" fillId="0" borderId="2" xfId="0" applyNumberFormat="1" applyFont="1" applyFill="1" applyBorder="1" applyAlignment="1">
      <alignment horizontal="left" vertical="top"/>
    </xf>
    <xf numFmtId="14" fontId="34" fillId="0" borderId="2" xfId="0" applyNumberFormat="1" applyFont="1" applyFill="1" applyBorder="1" applyAlignment="1">
      <alignment horizontal="center" vertical="top" wrapText="1"/>
    </xf>
    <xf numFmtId="0" fontId="34" fillId="0" borderId="2" xfId="0" applyNumberFormat="1" applyFont="1" applyFill="1" applyBorder="1" applyAlignment="1">
      <alignment horizontal="center" vertical="top" wrapText="1"/>
    </xf>
    <xf numFmtId="0" fontId="34" fillId="0" borderId="2" xfId="0" applyFont="1" applyFill="1" applyBorder="1" applyAlignment="1">
      <alignment horizontal="left" vertical="top"/>
    </xf>
    <xf numFmtId="14" fontId="34" fillId="0" borderId="2" xfId="0" applyNumberFormat="1" applyFont="1" applyFill="1" applyBorder="1" applyAlignment="1">
      <alignment vertical="top"/>
    </xf>
    <xf numFmtId="167" fontId="35" fillId="0" borderId="2" xfId="3" applyNumberFormat="1" applyFont="1" applyFill="1" applyBorder="1" applyAlignment="1">
      <alignment horizontal="right" vertical="top"/>
    </xf>
    <xf numFmtId="49" fontId="34" fillId="0" borderId="2" xfId="0" applyNumberFormat="1" applyFont="1" applyFill="1" applyBorder="1" applyAlignment="1">
      <alignment horizontal="left" vertical="top"/>
    </xf>
    <xf numFmtId="14" fontId="34" fillId="0" borderId="2" xfId="0" applyNumberFormat="1" applyFont="1" applyFill="1" applyBorder="1" applyAlignment="1">
      <alignment horizontal="left" vertical="top" wrapText="1"/>
    </xf>
    <xf numFmtId="0" fontId="34" fillId="0" borderId="2" xfId="0" applyFont="1" applyFill="1" applyBorder="1" applyAlignment="1">
      <alignment horizontal="left" vertical="top" wrapText="1"/>
    </xf>
    <xf numFmtId="14" fontId="34" fillId="0" borderId="2" xfId="0" applyNumberFormat="1" applyFont="1" applyFill="1" applyBorder="1" applyAlignment="1">
      <alignment vertical="top" wrapText="1"/>
    </xf>
    <xf numFmtId="167" fontId="34" fillId="0" borderId="2" xfId="3" applyNumberFormat="1" applyFont="1" applyFill="1" applyBorder="1" applyAlignment="1">
      <alignment horizontal="right" vertical="top"/>
    </xf>
    <xf numFmtId="0" fontId="34" fillId="0" borderId="2" xfId="0" applyFont="1" applyFill="1" applyBorder="1" applyAlignment="1">
      <alignment vertical="top"/>
    </xf>
    <xf numFmtId="0" fontId="34" fillId="0" borderId="2" xfId="0" applyFont="1" applyFill="1" applyBorder="1" applyAlignment="1">
      <alignment horizontal="center" vertical="top" wrapText="1"/>
    </xf>
    <xf numFmtId="0" fontId="0" fillId="0" borderId="10" xfId="0" applyFont="1" applyFill="1" applyBorder="1" applyAlignment="1">
      <alignment horizontal="center" vertical="top" wrapText="1"/>
    </xf>
    <xf numFmtId="0" fontId="0" fillId="0" borderId="10" xfId="0" applyFill="1" applyBorder="1" applyAlignment="1">
      <alignment horizontal="center" vertical="top" wrapText="1"/>
    </xf>
    <xf numFmtId="49" fontId="0" fillId="0" borderId="10" xfId="0" applyNumberFormat="1" applyFont="1" applyFill="1" applyBorder="1" applyAlignment="1">
      <alignment vertical="top"/>
    </xf>
    <xf numFmtId="0" fontId="4" fillId="0" borderId="6"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8" xfId="0" applyNumberFormat="1" applyFont="1" applyFill="1" applyBorder="1" applyAlignment="1">
      <alignment horizontal="left" vertical="top" wrapText="1"/>
    </xf>
    <xf numFmtId="0" fontId="45" fillId="3" borderId="2" xfId="0" applyNumberFormat="1" applyFont="1" applyFill="1" applyBorder="1" applyAlignment="1">
      <alignment horizontal="center" vertical="center" wrapText="1"/>
    </xf>
    <xf numFmtId="167" fontId="45" fillId="3" borderId="2" xfId="3" applyNumberFormat="1" applyFont="1" applyFill="1" applyBorder="1" applyAlignment="1">
      <alignment horizontal="right" vertical="center" wrapText="1"/>
    </xf>
    <xf numFmtId="167" fontId="45" fillId="7" borderId="2" xfId="3" applyNumberFormat="1" applyFont="1" applyFill="1" applyBorder="1" applyAlignment="1">
      <alignment horizontal="right" vertical="center"/>
    </xf>
    <xf numFmtId="0" fontId="24" fillId="0" borderId="2" xfId="0" applyFont="1" applyFill="1" applyBorder="1" applyAlignment="1">
      <alignment horizontal="center" vertical="top"/>
    </xf>
    <xf numFmtId="0" fontId="49" fillId="0" borderId="2" xfId="0" applyFont="1" applyFill="1" applyBorder="1" applyAlignment="1">
      <alignment horizontal="center" vertical="top" wrapText="1"/>
    </xf>
    <xf numFmtId="14" fontId="50" fillId="0" borderId="2" xfId="0" applyNumberFormat="1" applyFont="1" applyFill="1" applyBorder="1" applyAlignment="1">
      <alignment horizontal="center" vertical="top" wrapText="1"/>
    </xf>
    <xf numFmtId="0" fontId="50" fillId="0" borderId="2" xfId="0" applyFont="1" applyFill="1" applyBorder="1" applyAlignment="1">
      <alignment horizontal="center" vertical="top" wrapText="1"/>
    </xf>
    <xf numFmtId="14" fontId="26" fillId="0" borderId="2" xfId="0" applyNumberFormat="1" applyFont="1" applyFill="1" applyBorder="1" applyAlignment="1">
      <alignment horizontal="center" vertical="top"/>
    </xf>
    <xf numFmtId="14" fontId="26" fillId="0" borderId="2" xfId="0" applyNumberFormat="1" applyFont="1" applyFill="1" applyBorder="1" applyAlignment="1">
      <alignment horizontal="center" vertical="top" wrapText="1"/>
    </xf>
    <xf numFmtId="0" fontId="50" fillId="0" borderId="2" xfId="0" applyFont="1" applyFill="1" applyBorder="1" applyAlignment="1">
      <alignment horizontal="left" vertical="top" wrapText="1"/>
    </xf>
    <xf numFmtId="16" fontId="24" fillId="0" borderId="2" xfId="0" applyNumberFormat="1" applyFont="1" applyFill="1" applyBorder="1" applyAlignment="1">
      <alignment horizontal="left" vertical="top"/>
    </xf>
    <xf numFmtId="0" fontId="50" fillId="0" borderId="2" xfId="0" applyFont="1" applyFill="1" applyBorder="1" applyAlignment="1">
      <alignment vertical="top" wrapText="1"/>
    </xf>
    <xf numFmtId="14" fontId="26" fillId="0" borderId="2" xfId="0" applyNumberFormat="1" applyFont="1" applyFill="1" applyBorder="1" applyAlignment="1">
      <alignment vertical="top" wrapText="1"/>
    </xf>
    <xf numFmtId="49" fontId="45" fillId="0" borderId="2" xfId="0" applyNumberFormat="1" applyFont="1" applyFill="1" applyBorder="1" applyAlignment="1">
      <alignment horizontal="left" vertical="top"/>
    </xf>
    <xf numFmtId="0" fontId="51" fillId="0" borderId="2" xfId="0" applyNumberFormat="1" applyFont="1" applyFill="1" applyBorder="1" applyAlignment="1">
      <alignment horizontal="left" vertical="center" wrapText="1"/>
    </xf>
    <xf numFmtId="49" fontId="24" fillId="0" borderId="0" xfId="0" applyNumberFormat="1" applyFont="1" applyAlignment="1">
      <alignment horizontal="left" vertical="top"/>
    </xf>
    <xf numFmtId="49" fontId="6" fillId="5" borderId="2" xfId="0" applyNumberFormat="1" applyFont="1" applyFill="1" applyBorder="1" applyAlignment="1">
      <alignment horizontal="left" vertical="top" wrapText="1"/>
    </xf>
    <xf numFmtId="49" fontId="6" fillId="0" borderId="12" xfId="0" applyNumberFormat="1" applyFont="1" applyFill="1" applyBorder="1" applyAlignment="1">
      <alignment horizontal="left" vertical="top" wrapText="1"/>
    </xf>
    <xf numFmtId="49" fontId="6" fillId="0" borderId="2" xfId="0" applyNumberFormat="1" applyFont="1" applyBorder="1" applyAlignment="1" applyProtection="1">
      <alignment horizontal="left" vertical="top" wrapText="1"/>
    </xf>
    <xf numFmtId="0" fontId="13" fillId="0" borderId="11" xfId="0" applyNumberFormat="1" applyFont="1" applyFill="1" applyBorder="1" applyAlignment="1">
      <alignment horizontal="left" vertical="top" wrapText="1"/>
    </xf>
    <xf numFmtId="0" fontId="13" fillId="0" borderId="10" xfId="0" applyNumberFormat="1" applyFont="1" applyFill="1" applyBorder="1" applyAlignment="1">
      <alignment horizontal="left" vertical="top" wrapText="1"/>
    </xf>
    <xf numFmtId="0" fontId="13" fillId="0" borderId="2" xfId="0" applyNumberFormat="1" applyFont="1" applyBorder="1" applyAlignment="1">
      <alignment horizontal="left" vertical="top" wrapText="1"/>
    </xf>
    <xf numFmtId="0" fontId="32" fillId="0" borderId="2" xfId="0" applyFont="1" applyBorder="1" applyAlignment="1">
      <alignment horizontal="left" vertical="top" wrapText="1"/>
    </xf>
    <xf numFmtId="0" fontId="13" fillId="0" borderId="11" xfId="0" applyNumberFormat="1" applyFont="1" applyFill="1" applyBorder="1" applyAlignment="1">
      <alignment vertical="top" wrapText="1"/>
    </xf>
    <xf numFmtId="0" fontId="30" fillId="0" borderId="2" xfId="0" applyFont="1" applyFill="1" applyBorder="1" applyAlignment="1">
      <alignment horizontal="left" vertical="top" wrapText="1"/>
    </xf>
    <xf numFmtId="0" fontId="30" fillId="0" borderId="2" xfId="0" applyNumberFormat="1" applyFont="1" applyFill="1" applyBorder="1" applyAlignment="1">
      <alignment horizontal="left" vertical="top" wrapText="1"/>
    </xf>
    <xf numFmtId="49" fontId="4" fillId="0" borderId="2" xfId="0" applyNumberFormat="1" applyFont="1" applyFill="1" applyBorder="1" applyAlignment="1" applyProtection="1">
      <alignment horizontal="left" vertical="top" wrapText="1"/>
    </xf>
    <xf numFmtId="0" fontId="21" fillId="0" borderId="2" xfId="0" applyFont="1" applyFill="1" applyBorder="1" applyAlignment="1">
      <alignment horizontal="left" vertical="top" wrapText="1"/>
    </xf>
    <xf numFmtId="0" fontId="24" fillId="0" borderId="11" xfId="0" applyNumberFormat="1" applyFont="1" applyFill="1" applyBorder="1" applyAlignment="1">
      <alignment horizontal="center" vertical="center" wrapText="1"/>
    </xf>
    <xf numFmtId="0" fontId="24" fillId="0" borderId="9" xfId="0" applyNumberFormat="1" applyFont="1" applyFill="1" applyBorder="1" applyAlignment="1">
      <alignment horizontal="center" vertical="center" wrapText="1"/>
    </xf>
    <xf numFmtId="0" fontId="24" fillId="0" borderId="10" xfId="0" applyNumberFormat="1" applyFont="1" applyFill="1" applyBorder="1" applyAlignment="1">
      <alignment horizontal="center" vertical="center" wrapText="1"/>
    </xf>
    <xf numFmtId="49" fontId="13" fillId="0" borderId="10" xfId="0" applyNumberFormat="1" applyFont="1" applyFill="1" applyBorder="1" applyAlignment="1">
      <alignment horizontal="left" vertical="top"/>
    </xf>
    <xf numFmtId="49" fontId="30" fillId="0" borderId="3" xfId="0" applyNumberFormat="1" applyFont="1" applyFill="1" applyBorder="1" applyAlignment="1">
      <alignment horizontal="left" vertical="top"/>
    </xf>
    <xf numFmtId="0" fontId="18" fillId="0" borderId="2" xfId="0" applyFont="1" applyBorder="1" applyAlignment="1">
      <alignment horizontal="left" vertical="top"/>
    </xf>
    <xf numFmtId="49" fontId="45" fillId="3" borderId="2" xfId="0" applyNumberFormat="1" applyFont="1" applyFill="1" applyBorder="1" applyAlignment="1">
      <alignment horizontal="left" vertical="top" wrapText="1"/>
    </xf>
    <xf numFmtId="0" fontId="45" fillId="0" borderId="2" xfId="0" applyFont="1" applyBorder="1" applyAlignment="1">
      <alignment horizontal="left" vertical="top"/>
    </xf>
    <xf numFmtId="49" fontId="4" fillId="3" borderId="2" xfId="0" applyNumberFormat="1" applyFont="1" applyFill="1" applyBorder="1" applyAlignment="1">
      <alignment horizontal="left" vertical="top" wrapText="1"/>
    </xf>
    <xf numFmtId="49" fontId="4" fillId="7" borderId="2" xfId="0" applyNumberFormat="1" applyFont="1" applyFill="1" applyBorder="1" applyAlignment="1">
      <alignment horizontal="left" vertical="top"/>
    </xf>
    <xf numFmtId="49" fontId="35" fillId="3" borderId="2" xfId="0" applyNumberFormat="1" applyFont="1" applyFill="1" applyBorder="1" applyAlignment="1">
      <alignment horizontal="left" vertical="top" wrapText="1"/>
    </xf>
    <xf numFmtId="49" fontId="35" fillId="7" borderId="2" xfId="0" applyNumberFormat="1" applyFont="1" applyFill="1" applyBorder="1" applyAlignment="1">
      <alignment horizontal="left" vertical="top"/>
    </xf>
    <xf numFmtId="49" fontId="4" fillId="4" borderId="2" xfId="0" applyNumberFormat="1" applyFont="1" applyFill="1" applyBorder="1" applyAlignment="1">
      <alignment horizontal="left" vertical="top" wrapText="1"/>
    </xf>
    <xf numFmtId="49" fontId="4" fillId="7" borderId="3" xfId="0" applyNumberFormat="1" applyFont="1" applyFill="1" applyBorder="1" applyAlignment="1">
      <alignment horizontal="left" vertical="top"/>
    </xf>
    <xf numFmtId="49" fontId="13" fillId="0" borderId="13" xfId="0" applyNumberFormat="1" applyFont="1" applyFill="1" applyBorder="1" applyAlignment="1">
      <alignment horizontal="left" vertical="top" wrapText="1"/>
    </xf>
    <xf numFmtId="49" fontId="13" fillId="0" borderId="14" xfId="0" applyNumberFormat="1" applyFont="1" applyFill="1" applyBorder="1" applyAlignment="1">
      <alignment horizontal="left" vertical="top" wrapText="1"/>
    </xf>
    <xf numFmtId="49" fontId="13" fillId="0" borderId="14" xfId="0" applyNumberFormat="1" applyFont="1" applyFill="1" applyBorder="1" applyAlignment="1">
      <alignment horizontal="left" vertical="top"/>
    </xf>
    <xf numFmtId="49" fontId="13" fillId="0" borderId="13" xfId="0" applyNumberFormat="1" applyFont="1" applyFill="1" applyBorder="1" applyAlignment="1">
      <alignment horizontal="left" vertical="top"/>
    </xf>
    <xf numFmtId="49" fontId="13" fillId="0" borderId="3" xfId="0" applyNumberFormat="1" applyFont="1" applyFill="1" applyBorder="1" applyAlignment="1">
      <alignment horizontal="left" vertical="top" wrapText="1"/>
    </xf>
    <xf numFmtId="49" fontId="4" fillId="4" borderId="3" xfId="0" applyNumberFormat="1" applyFont="1" applyFill="1" applyBorder="1" applyAlignment="1">
      <alignment horizontal="left" vertical="top" wrapText="1"/>
    </xf>
    <xf numFmtId="49" fontId="45" fillId="7" borderId="2" xfId="0" applyNumberFormat="1" applyFont="1" applyFill="1" applyBorder="1" applyAlignment="1">
      <alignment horizontal="left" vertical="top"/>
    </xf>
    <xf numFmtId="49" fontId="24" fillId="0" borderId="0" xfId="0" applyNumberFormat="1" applyFont="1" applyFill="1" applyBorder="1" applyAlignment="1">
      <alignment horizontal="left" vertical="top"/>
    </xf>
    <xf numFmtId="49" fontId="18" fillId="0" borderId="2" xfId="0" applyNumberFormat="1" applyFont="1" applyFill="1" applyBorder="1" applyAlignment="1">
      <alignment vertical="top"/>
    </xf>
    <xf numFmtId="49" fontId="4" fillId="3" borderId="2" xfId="0" applyNumberFormat="1" applyFont="1" applyFill="1" applyBorder="1" applyAlignment="1">
      <alignment horizontal="center" vertical="top" wrapText="1"/>
    </xf>
    <xf numFmtId="49" fontId="4" fillId="4" borderId="2" xfId="0" applyNumberFormat="1" applyFont="1" applyFill="1" applyBorder="1" applyAlignment="1">
      <alignment horizontal="center" vertical="top" wrapText="1"/>
    </xf>
    <xf numFmtId="0" fontId="4" fillId="2" borderId="2" xfId="0" applyNumberFormat="1" applyFont="1" applyFill="1" applyBorder="1" applyAlignment="1">
      <alignment horizontal="center" vertical="top" wrapText="1"/>
    </xf>
    <xf numFmtId="165" fontId="24" fillId="0" borderId="11" xfId="0" applyNumberFormat="1" applyFont="1" applyFill="1" applyBorder="1" applyAlignment="1">
      <alignment horizontal="center" vertical="center" wrapText="1"/>
    </xf>
    <xf numFmtId="165" fontId="24" fillId="0" borderId="9" xfId="0" applyNumberFormat="1" applyFont="1" applyFill="1" applyBorder="1" applyAlignment="1">
      <alignment horizontal="center" vertical="center" wrapText="1"/>
    </xf>
    <xf numFmtId="165" fontId="24" fillId="0" borderId="10" xfId="0" applyNumberFormat="1" applyFont="1" applyFill="1" applyBorder="1" applyAlignment="1">
      <alignment horizontal="center" vertical="center" wrapText="1"/>
    </xf>
    <xf numFmtId="49" fontId="13" fillId="2" borderId="2" xfId="0" applyNumberFormat="1" applyFont="1" applyFill="1" applyBorder="1" applyAlignment="1">
      <alignment horizontal="center" vertical="top" wrapText="1"/>
    </xf>
    <xf numFmtId="0" fontId="11" fillId="0" borderId="2" xfId="0" applyNumberFormat="1" applyFont="1" applyBorder="1" applyAlignment="1">
      <alignment horizontal="center" vertical="top" wrapText="1"/>
    </xf>
    <xf numFmtId="0" fontId="25" fillId="0" borderId="2" xfId="0" applyFont="1" applyFill="1" applyBorder="1" applyAlignment="1">
      <alignment horizontal="center" vertical="top"/>
    </xf>
    <xf numFmtId="165" fontId="18" fillId="0" borderId="2" xfId="0" applyNumberFormat="1" applyFont="1" applyFill="1" applyBorder="1" applyAlignment="1">
      <alignment horizontal="center" vertical="top" wrapText="1"/>
    </xf>
    <xf numFmtId="49" fontId="18" fillId="0" borderId="2" xfId="0" applyNumberFormat="1" applyFont="1" applyFill="1" applyBorder="1" applyAlignment="1">
      <alignment vertical="top" wrapText="1"/>
    </xf>
    <xf numFmtId="49" fontId="13" fillId="0" borderId="2" xfId="0" applyNumberFormat="1" applyFont="1" applyFill="1" applyBorder="1" applyAlignment="1" applyProtection="1">
      <alignment horizontal="center" vertical="top" wrapText="1"/>
    </xf>
    <xf numFmtId="49" fontId="13" fillId="0" borderId="2" xfId="0" applyNumberFormat="1" applyFont="1" applyFill="1" applyBorder="1" applyAlignment="1" applyProtection="1">
      <alignment horizontal="center" vertical="top" wrapText="1"/>
    </xf>
    <xf numFmtId="11" fontId="13" fillId="0" borderId="2" xfId="0" applyNumberFormat="1" applyFont="1" applyFill="1" applyBorder="1" applyAlignment="1">
      <alignment horizontal="center" vertical="top" wrapText="1"/>
    </xf>
    <xf numFmtId="0" fontId="13" fillId="0" borderId="7" xfId="0" applyNumberFormat="1" applyFont="1" applyFill="1" applyBorder="1" applyAlignment="1">
      <alignment horizontal="center" vertical="top" wrapText="1"/>
    </xf>
    <xf numFmtId="0" fontId="4" fillId="7" borderId="2" xfId="0" applyNumberFormat="1" applyFont="1" applyFill="1" applyBorder="1" applyAlignment="1">
      <alignment horizontal="left" vertical="top"/>
    </xf>
    <xf numFmtId="14" fontId="4" fillId="7" borderId="2" xfId="0" applyNumberFormat="1" applyFont="1" applyFill="1" applyBorder="1" applyAlignment="1">
      <alignment horizontal="center" vertical="center"/>
    </xf>
    <xf numFmtId="14" fontId="4" fillId="7" borderId="2" xfId="0" applyNumberFormat="1" applyFont="1" applyFill="1" applyBorder="1" applyAlignment="1">
      <alignment horizontal="center" vertical="top" wrapText="1"/>
    </xf>
    <xf numFmtId="0" fontId="4" fillId="7" borderId="2" xfId="0" applyNumberFormat="1" applyFont="1" applyFill="1" applyBorder="1" applyAlignment="1">
      <alignment horizontal="center" vertical="top"/>
    </xf>
    <xf numFmtId="0" fontId="4" fillId="7" borderId="2" xfId="0" applyFont="1" applyFill="1" applyBorder="1" applyAlignment="1">
      <alignment horizontal="center" vertical="center"/>
    </xf>
    <xf numFmtId="14" fontId="4" fillId="7" borderId="2" xfId="0" applyNumberFormat="1" applyFont="1" applyFill="1" applyBorder="1" applyAlignment="1">
      <alignment horizontal="center" vertical="center" wrapText="1"/>
    </xf>
    <xf numFmtId="167" fontId="4" fillId="7" borderId="2" xfId="0" applyNumberFormat="1" applyFont="1" applyFill="1" applyBorder="1" applyAlignment="1">
      <alignment horizontal="right" vertical="center" wrapText="1"/>
    </xf>
    <xf numFmtId="167" fontId="4" fillId="7" borderId="2" xfId="3" applyNumberFormat="1" applyFont="1" applyFill="1" applyBorder="1" applyAlignment="1">
      <alignment horizontal="center" vertical="center"/>
    </xf>
    <xf numFmtId="0" fontId="4" fillId="7" borderId="2" xfId="0" applyNumberFormat="1" applyFont="1" applyFill="1" applyBorder="1" applyAlignment="1">
      <alignment horizontal="left" vertical="top" wrapText="1"/>
    </xf>
    <xf numFmtId="0" fontId="4" fillId="7" borderId="2" xfId="0" applyNumberFormat="1" applyFont="1" applyFill="1" applyBorder="1" applyAlignment="1">
      <alignment horizontal="center" vertical="top" wrapText="1"/>
    </xf>
    <xf numFmtId="167" fontId="4" fillId="7" borderId="2" xfId="0" applyNumberFormat="1" applyFont="1" applyFill="1" applyBorder="1" applyAlignment="1">
      <alignment horizontal="center" vertical="center" wrapText="1"/>
    </xf>
    <xf numFmtId="0" fontId="38" fillId="0" borderId="2" xfId="0" applyFont="1" applyFill="1" applyBorder="1" applyAlignment="1">
      <alignment horizontal="center" vertical="top"/>
    </xf>
    <xf numFmtId="0" fontId="36" fillId="0" borderId="2" xfId="0" applyNumberFormat="1" applyFont="1" applyFill="1" applyBorder="1" applyAlignment="1">
      <alignment horizontal="left" vertical="top" wrapText="1"/>
    </xf>
    <xf numFmtId="167" fontId="13" fillId="0" borderId="0" xfId="3" applyNumberFormat="1" applyFont="1" applyAlignment="1">
      <alignment horizontal="right" vertical="top" wrapText="1"/>
    </xf>
    <xf numFmtId="167" fontId="13" fillId="0" borderId="0" xfId="3" applyNumberFormat="1" applyFont="1" applyAlignment="1">
      <alignment horizontal="right" vertical="top"/>
    </xf>
    <xf numFmtId="49" fontId="13" fillId="0" borderId="2" xfId="0" applyNumberFormat="1" applyFont="1" applyFill="1" applyBorder="1" applyAlignment="1">
      <alignment horizontal="right" vertical="top" wrapText="1"/>
    </xf>
    <xf numFmtId="49" fontId="13" fillId="0" borderId="6" xfId="0" applyNumberFormat="1" applyFont="1" applyFill="1" applyBorder="1" applyAlignment="1">
      <alignment horizontal="right" vertical="top" wrapText="1"/>
    </xf>
    <xf numFmtId="49" fontId="13" fillId="0" borderId="7" xfId="0" applyNumberFormat="1" applyFont="1" applyFill="1" applyBorder="1" applyAlignment="1">
      <alignment horizontal="right" vertical="top" wrapText="1"/>
    </xf>
    <xf numFmtId="49" fontId="13" fillId="0" borderId="8" xfId="0" applyNumberFormat="1" applyFont="1" applyFill="1" applyBorder="1" applyAlignment="1">
      <alignment horizontal="right" vertical="top" wrapText="1"/>
    </xf>
    <xf numFmtId="167" fontId="4" fillId="0" borderId="2" xfId="3" applyNumberFormat="1" applyFont="1" applyFill="1" applyBorder="1" applyAlignment="1">
      <alignment horizontal="right" vertical="top" wrapText="1"/>
    </xf>
    <xf numFmtId="167" fontId="4" fillId="4" borderId="2" xfId="3" applyNumberFormat="1" applyFont="1" applyFill="1" applyBorder="1" applyAlignment="1">
      <alignment horizontal="right" vertical="top" wrapText="1"/>
    </xf>
    <xf numFmtId="167" fontId="4" fillId="7" borderId="2" xfId="3" applyNumberFormat="1" applyFont="1" applyFill="1" applyBorder="1" applyAlignment="1">
      <alignment horizontal="right" vertical="top"/>
    </xf>
    <xf numFmtId="167" fontId="4" fillId="2" borderId="2" xfId="3" applyNumberFormat="1" applyFont="1" applyFill="1" applyBorder="1" applyAlignment="1">
      <alignment horizontal="right" vertical="top"/>
    </xf>
    <xf numFmtId="167" fontId="13" fillId="2" borderId="2" xfId="3" applyNumberFormat="1" applyFont="1" applyFill="1" applyBorder="1" applyAlignment="1">
      <alignment horizontal="right" vertical="top"/>
    </xf>
    <xf numFmtId="167" fontId="13" fillId="7" borderId="2" xfId="3" applyNumberFormat="1" applyFont="1" applyFill="1" applyBorder="1" applyAlignment="1">
      <alignment horizontal="right" vertical="top"/>
    </xf>
    <xf numFmtId="167" fontId="13" fillId="0" borderId="2" xfId="4" applyNumberFormat="1" applyFont="1" applyFill="1" applyBorder="1" applyAlignment="1">
      <alignment horizontal="right" vertical="top"/>
    </xf>
    <xf numFmtId="170" fontId="13" fillId="0" borderId="2" xfId="4" applyNumberFormat="1" applyFont="1" applyFill="1" applyBorder="1" applyAlignment="1" applyProtection="1">
      <alignment horizontal="right" vertical="top"/>
      <protection locked="0"/>
    </xf>
    <xf numFmtId="170" fontId="13" fillId="0" borderId="2" xfId="0" applyNumberFormat="1" applyFont="1" applyFill="1" applyBorder="1" applyAlignment="1" applyProtection="1">
      <alignment horizontal="right" vertical="top"/>
      <protection locked="0"/>
    </xf>
    <xf numFmtId="167" fontId="13" fillId="0" borderId="2" xfId="4" applyNumberFormat="1" applyFont="1" applyFill="1" applyBorder="1" applyAlignment="1" applyProtection="1">
      <alignment horizontal="right" vertical="top"/>
      <protection locked="0"/>
    </xf>
    <xf numFmtId="170" fontId="13" fillId="0" borderId="2" xfId="4" applyNumberFormat="1" applyFont="1" applyFill="1" applyBorder="1" applyAlignment="1">
      <alignment horizontal="right" vertical="top"/>
    </xf>
    <xf numFmtId="170" fontId="13" fillId="0" borderId="2" xfId="0" applyNumberFormat="1" applyFont="1" applyFill="1" applyBorder="1" applyAlignment="1">
      <alignment horizontal="right" vertical="top"/>
    </xf>
    <xf numFmtId="170" fontId="13" fillId="0" borderId="2" xfId="3" applyNumberFormat="1" applyFont="1" applyFill="1" applyBorder="1" applyAlignment="1">
      <alignment horizontal="right" vertical="top"/>
    </xf>
    <xf numFmtId="170" fontId="4" fillId="7" borderId="2" xfId="3" applyNumberFormat="1" applyFont="1" applyFill="1" applyBorder="1" applyAlignment="1">
      <alignment horizontal="right" vertical="top"/>
    </xf>
    <xf numFmtId="170" fontId="4" fillId="0" borderId="2" xfId="3" applyNumberFormat="1" applyFont="1" applyFill="1" applyBorder="1" applyAlignment="1">
      <alignment horizontal="right" vertical="top"/>
    </xf>
    <xf numFmtId="170" fontId="13" fillId="0" borderId="11" xfId="4" applyNumberFormat="1" applyFont="1" applyFill="1" applyBorder="1" applyAlignment="1">
      <alignment horizontal="right" vertical="top"/>
    </xf>
    <xf numFmtId="167" fontId="13" fillId="0" borderId="11" xfId="4" applyNumberFormat="1" applyFont="1" applyFill="1" applyBorder="1" applyAlignment="1">
      <alignment horizontal="right" vertical="top"/>
    </xf>
    <xf numFmtId="170" fontId="13" fillId="0" borderId="11" xfId="3" applyNumberFormat="1" applyFont="1" applyFill="1" applyBorder="1" applyAlignment="1" applyProtection="1">
      <alignment horizontal="right" vertical="top"/>
    </xf>
    <xf numFmtId="167" fontId="13" fillId="0" borderId="11" xfId="3" applyNumberFormat="1" applyFont="1" applyFill="1" applyBorder="1" applyAlignment="1" applyProtection="1">
      <alignment horizontal="right" vertical="top"/>
    </xf>
    <xf numFmtId="170" fontId="4" fillId="7" borderId="2" xfId="0" applyNumberFormat="1" applyFont="1" applyFill="1" applyBorder="1" applyAlignment="1">
      <alignment horizontal="right" vertical="top" wrapText="1"/>
    </xf>
    <xf numFmtId="167" fontId="4" fillId="7" borderId="2" xfId="0" applyNumberFormat="1" applyFont="1" applyFill="1" applyBorder="1" applyAlignment="1">
      <alignment horizontal="right" vertical="top" wrapText="1"/>
    </xf>
    <xf numFmtId="49" fontId="13" fillId="0" borderId="0" xfId="0" applyNumberFormat="1" applyFont="1" applyAlignment="1">
      <alignment horizontal="left" vertical="center"/>
    </xf>
    <xf numFmtId="14" fontId="13" fillId="0" borderId="0" xfId="0" applyNumberFormat="1" applyFont="1" applyAlignment="1">
      <alignment horizontal="left" vertical="top"/>
    </xf>
    <xf numFmtId="0" fontId="13" fillId="0" borderId="0" xfId="0" applyFont="1"/>
    <xf numFmtId="0" fontId="4" fillId="0" borderId="0" xfId="0" applyNumberFormat="1" applyFont="1" applyAlignment="1">
      <alignment vertical="top" wrapText="1"/>
    </xf>
    <xf numFmtId="167" fontId="13" fillId="0" borderId="0" xfId="0" applyNumberFormat="1" applyFont="1" applyAlignment="1">
      <alignment horizontal="left" vertical="center"/>
    </xf>
    <xf numFmtId="167" fontId="13" fillId="0" borderId="0" xfId="0" applyNumberFormat="1" applyFont="1" applyAlignment="1">
      <alignment horizontal="left" vertical="top"/>
    </xf>
    <xf numFmtId="0" fontId="13" fillId="0" borderId="0" xfId="0" applyNumberFormat="1" applyFont="1" applyAlignment="1">
      <alignment horizontal="left" vertical="top"/>
    </xf>
    <xf numFmtId="167" fontId="13" fillId="0" borderId="0" xfId="0" applyNumberFormat="1" applyFont="1" applyAlignment="1">
      <alignment horizontal="center" vertical="top"/>
    </xf>
    <xf numFmtId="167" fontId="13" fillId="0" borderId="0" xfId="0" applyNumberFormat="1" applyFont="1" applyAlignment="1">
      <alignment horizontal="center" vertical="top" wrapText="1"/>
    </xf>
    <xf numFmtId="167" fontId="13" fillId="0" borderId="0" xfId="0" applyNumberFormat="1" applyFont="1"/>
    <xf numFmtId="167" fontId="45" fillId="0" borderId="0" xfId="0" applyNumberFormat="1" applyFont="1" applyAlignment="1">
      <alignment horizontal="center" vertical="top" wrapText="1"/>
    </xf>
    <xf numFmtId="165" fontId="24" fillId="0" borderId="2" xfId="0" applyNumberFormat="1" applyFont="1" applyFill="1" applyBorder="1" applyAlignment="1">
      <alignment horizontal="left" vertical="top" wrapText="1"/>
    </xf>
    <xf numFmtId="0" fontId="13" fillId="0" borderId="0" xfId="0" applyFont="1" applyAlignment="1">
      <alignment horizontal="center" vertical="center"/>
    </xf>
    <xf numFmtId="49" fontId="13" fillId="3" borderId="2" xfId="0" applyNumberFormat="1" applyFont="1" applyFill="1" applyBorder="1" applyAlignment="1">
      <alignment horizontal="left" vertical="center" wrapText="1"/>
    </xf>
    <xf numFmtId="49" fontId="13" fillId="3" borderId="2" xfId="0" applyNumberFormat="1" applyFont="1" applyFill="1" applyBorder="1" applyAlignment="1">
      <alignment horizontal="left" vertical="top" wrapText="1"/>
    </xf>
    <xf numFmtId="49" fontId="24" fillId="3" borderId="2" xfId="0" applyNumberFormat="1" applyFont="1" applyFill="1" applyBorder="1" applyAlignment="1">
      <alignment horizontal="center" vertical="top" wrapText="1"/>
    </xf>
    <xf numFmtId="49" fontId="13" fillId="3" borderId="2" xfId="0" applyNumberFormat="1" applyFont="1" applyFill="1" applyBorder="1" applyAlignment="1">
      <alignment horizontal="center" vertical="top" wrapText="1"/>
    </xf>
    <xf numFmtId="49" fontId="24" fillId="3" borderId="2" xfId="0" applyNumberFormat="1" applyFont="1" applyFill="1" applyBorder="1" applyAlignment="1">
      <alignment horizontal="left" vertical="top" wrapText="1"/>
    </xf>
    <xf numFmtId="49" fontId="13" fillId="3" borderId="2" xfId="0" applyNumberFormat="1" applyFont="1" applyFill="1" applyBorder="1" applyAlignment="1">
      <alignment horizontal="center" vertical="center" wrapText="1"/>
    </xf>
    <xf numFmtId="0" fontId="4" fillId="3" borderId="0" xfId="0" applyFont="1" applyFill="1" applyAlignment="1">
      <alignment vertical="center"/>
    </xf>
    <xf numFmtId="0" fontId="4" fillId="6" borderId="0" xfId="0" applyFont="1" applyFill="1" applyAlignment="1">
      <alignment vertical="center"/>
    </xf>
    <xf numFmtId="0" fontId="4" fillId="7" borderId="2" xfId="0" applyNumberFormat="1" applyFont="1" applyFill="1" applyBorder="1" applyAlignment="1">
      <alignment horizontal="left" vertical="center"/>
    </xf>
    <xf numFmtId="0" fontId="4" fillId="7" borderId="2" xfId="0" applyFont="1" applyFill="1" applyBorder="1" applyAlignment="1">
      <alignment horizontal="left" vertical="top"/>
    </xf>
    <xf numFmtId="0" fontId="4" fillId="0" borderId="2" xfId="0" applyFont="1" applyFill="1" applyBorder="1" applyAlignment="1">
      <alignment horizontal="left" vertical="top"/>
    </xf>
    <xf numFmtId="14" fontId="13" fillId="0" borderId="2" xfId="0" applyNumberFormat="1" applyFont="1" applyFill="1" applyBorder="1" applyAlignment="1">
      <alignment horizontal="left" vertical="center" wrapText="1"/>
    </xf>
    <xf numFmtId="169" fontId="18" fillId="0" borderId="2" xfId="0" applyNumberFormat="1" applyFont="1" applyFill="1" applyBorder="1" applyAlignment="1">
      <alignment horizontal="left" vertical="top" wrapText="1"/>
    </xf>
    <xf numFmtId="0" fontId="18" fillId="0" borderId="2" xfId="0" applyNumberFormat="1" applyFont="1" applyFill="1" applyBorder="1" applyAlignment="1" applyProtection="1">
      <alignment horizontal="left" vertical="top"/>
      <protection locked="0"/>
    </xf>
    <xf numFmtId="0" fontId="13" fillId="0" borderId="2" xfId="0" applyNumberFormat="1" applyFont="1" applyFill="1" applyBorder="1" applyAlignment="1" applyProtection="1">
      <alignment vertical="top" wrapText="1"/>
      <protection locked="0"/>
    </xf>
    <xf numFmtId="14" fontId="18" fillId="0" borderId="2" xfId="0" applyNumberFormat="1" applyFont="1" applyFill="1" applyBorder="1" applyAlignment="1" applyProtection="1">
      <alignment horizontal="left" vertical="top" wrapText="1"/>
      <protection locked="0"/>
    </xf>
    <xf numFmtId="49" fontId="13" fillId="0" borderId="2" xfId="0" applyNumberFormat="1" applyFont="1" applyFill="1" applyBorder="1" applyAlignment="1" applyProtection="1">
      <alignment horizontal="left" vertical="top"/>
      <protection locked="0"/>
    </xf>
    <xf numFmtId="49" fontId="13" fillId="0" borderId="2" xfId="0" applyNumberFormat="1" applyFont="1" applyFill="1" applyBorder="1" applyAlignment="1" applyProtection="1">
      <alignment horizontal="center" vertical="top"/>
      <protection locked="0"/>
    </xf>
    <xf numFmtId="49" fontId="13" fillId="0" borderId="2" xfId="0" applyNumberFormat="1" applyFont="1" applyFill="1" applyBorder="1" applyAlignment="1" applyProtection="1">
      <alignment horizontal="center" vertical="top" wrapText="1"/>
      <protection locked="0"/>
    </xf>
    <xf numFmtId="0" fontId="13" fillId="0" borderId="2" xfId="0" applyFont="1" applyFill="1" applyBorder="1" applyAlignment="1" applyProtection="1">
      <alignment horizontal="left" vertical="top" wrapText="1"/>
      <protection locked="0"/>
    </xf>
    <xf numFmtId="14" fontId="17" fillId="0" borderId="2" xfId="0" applyNumberFormat="1" applyFont="1" applyFill="1" applyBorder="1" applyAlignment="1" applyProtection="1">
      <alignment horizontal="center" vertical="top"/>
      <protection locked="0"/>
    </xf>
    <xf numFmtId="16" fontId="18" fillId="0" borderId="2" xfId="0" applyNumberFormat="1" applyFont="1" applyFill="1" applyBorder="1" applyAlignment="1">
      <alignment horizontal="left" vertical="top" wrapText="1"/>
    </xf>
    <xf numFmtId="0" fontId="18" fillId="0" borderId="2" xfId="0" applyFont="1" applyFill="1" applyBorder="1" applyAlignment="1">
      <alignment horizontal="left" vertical="top" wrapText="1"/>
    </xf>
    <xf numFmtId="14" fontId="16" fillId="0" borderId="2" xfId="0" applyNumberFormat="1" applyFont="1" applyFill="1" applyBorder="1" applyAlignment="1">
      <alignment horizontal="center" vertical="top" wrapText="1"/>
    </xf>
    <xf numFmtId="0" fontId="13" fillId="7" borderId="2" xfId="0" applyFont="1" applyFill="1" applyBorder="1" applyAlignment="1">
      <alignment horizontal="left" vertical="top"/>
    </xf>
    <xf numFmtId="0" fontId="18" fillId="0" borderId="11" xfId="0" applyNumberFormat="1" applyFont="1" applyFill="1" applyBorder="1" applyAlignment="1">
      <alignment vertical="top"/>
    </xf>
    <xf numFmtId="14" fontId="17" fillId="0" borderId="11" xfId="0" applyNumberFormat="1" applyFont="1" applyFill="1" applyBorder="1" applyAlignment="1">
      <alignment vertical="top"/>
    </xf>
    <xf numFmtId="14" fontId="17" fillId="0" borderId="11" xfId="0" applyNumberFormat="1" applyFont="1" applyFill="1" applyBorder="1" applyAlignment="1">
      <alignment vertical="top" wrapText="1"/>
    </xf>
    <xf numFmtId="49" fontId="13" fillId="0" borderId="11" xfId="0" applyNumberFormat="1" applyFont="1" applyFill="1" applyBorder="1" applyAlignment="1">
      <alignment vertical="top" wrapText="1"/>
    </xf>
    <xf numFmtId="49" fontId="33" fillId="0" borderId="2" xfId="0" applyNumberFormat="1" applyFont="1" applyFill="1" applyBorder="1" applyAlignment="1">
      <alignment horizontal="center" vertical="top" wrapText="1"/>
    </xf>
    <xf numFmtId="14" fontId="24" fillId="0" borderId="11" xfId="0" applyNumberFormat="1" applyFont="1" applyFill="1" applyBorder="1" applyAlignment="1">
      <alignment vertical="top" wrapText="1"/>
    </xf>
    <xf numFmtId="0" fontId="13" fillId="0" borderId="10" xfId="0" applyFont="1" applyFill="1" applyBorder="1" applyAlignment="1">
      <alignment horizontal="left" vertical="top" wrapText="1"/>
    </xf>
    <xf numFmtId="14" fontId="18" fillId="0" borderId="2" xfId="0" applyNumberFormat="1" applyFont="1" applyFill="1" applyBorder="1" applyAlignment="1">
      <alignment vertical="top"/>
    </xf>
    <xf numFmtId="0" fontId="23" fillId="0" borderId="2" xfId="0" applyFont="1" applyFill="1" applyBorder="1" applyAlignment="1">
      <alignment horizontal="left" vertical="top"/>
    </xf>
    <xf numFmtId="0" fontId="18" fillId="0" borderId="0" xfId="0" applyNumberFormat="1" applyFont="1" applyFill="1" applyBorder="1" applyAlignment="1">
      <alignment horizontal="left" vertical="center"/>
    </xf>
    <xf numFmtId="0" fontId="13" fillId="0" borderId="0" xfId="0" applyFont="1" applyFill="1" applyBorder="1" applyAlignment="1">
      <alignment horizontal="left" vertical="top" wrapText="1"/>
    </xf>
    <xf numFmtId="14" fontId="17" fillId="0" borderId="0" xfId="0" applyNumberFormat="1" applyFont="1" applyFill="1" applyBorder="1" applyAlignment="1">
      <alignment horizontal="left" vertical="top"/>
    </xf>
    <xf numFmtId="14" fontId="24" fillId="0" borderId="0" xfId="0" applyNumberFormat="1" applyFont="1" applyFill="1" applyBorder="1" applyAlignment="1">
      <alignment horizontal="center" vertical="top" wrapText="1"/>
    </xf>
    <xf numFmtId="49" fontId="13" fillId="0" borderId="0" xfId="0" applyNumberFormat="1" applyFont="1" applyFill="1" applyBorder="1" applyAlignment="1">
      <alignment horizontal="center" vertical="top" wrapText="1"/>
    </xf>
    <xf numFmtId="0" fontId="24" fillId="0" borderId="0" xfId="0" applyFont="1" applyFill="1" applyBorder="1" applyAlignment="1">
      <alignment horizontal="left" vertical="top" wrapText="1"/>
    </xf>
    <xf numFmtId="49" fontId="13" fillId="0" borderId="0" xfId="0" applyNumberFormat="1" applyFont="1" applyFill="1" applyBorder="1" applyAlignment="1">
      <alignment horizontal="left" vertical="top" wrapText="1"/>
    </xf>
    <xf numFmtId="14" fontId="17" fillId="0" borderId="0" xfId="0" applyNumberFormat="1" applyFont="1" applyFill="1" applyBorder="1" applyAlignment="1">
      <alignment horizontal="center" vertical="top" wrapText="1"/>
    </xf>
    <xf numFmtId="0" fontId="13" fillId="0" borderId="0" xfId="1" applyFont="1" applyFill="1" applyAlignment="1">
      <alignment horizontal="left" vertical="top"/>
    </xf>
    <xf numFmtId="0" fontId="13" fillId="2" borderId="5" xfId="1" applyNumberFormat="1" applyFont="1" applyFill="1" applyBorder="1" applyAlignment="1">
      <alignment horizontal="left" vertical="top"/>
    </xf>
    <xf numFmtId="0" fontId="13" fillId="0" borderId="0" xfId="1" applyFont="1" applyFill="1" applyAlignment="1">
      <alignment horizontal="center" vertical="top"/>
    </xf>
    <xf numFmtId="0" fontId="13" fillId="0" borderId="0" xfId="0" applyNumberFormat="1" applyFont="1" applyAlignment="1">
      <alignment horizontal="center" vertical="top" wrapText="1"/>
    </xf>
    <xf numFmtId="0" fontId="13" fillId="0" borderId="0" xfId="1" applyNumberFormat="1" applyFont="1" applyFill="1" applyAlignment="1">
      <alignment horizontal="left" vertical="top"/>
    </xf>
    <xf numFmtId="49" fontId="13" fillId="0" borderId="0" xfId="1" applyNumberFormat="1" applyFont="1" applyFill="1" applyAlignment="1">
      <alignment horizontal="center" vertical="top"/>
    </xf>
    <xf numFmtId="49" fontId="26" fillId="0" borderId="2" xfId="0" applyNumberFormat="1" applyFont="1" applyFill="1" applyBorder="1" applyAlignment="1">
      <alignment vertical="top" wrapText="1"/>
    </xf>
    <xf numFmtId="49" fontId="26" fillId="0" borderId="2" xfId="0" applyNumberFormat="1" applyFont="1" applyFill="1" applyBorder="1" applyAlignment="1">
      <alignment vertical="top" wrapText="1"/>
    </xf>
    <xf numFmtId="0" fontId="26" fillId="0" borderId="2" xfId="0" applyFont="1" applyFill="1" applyBorder="1" applyAlignment="1">
      <alignment horizontal="left" vertical="top" wrapText="1"/>
    </xf>
    <xf numFmtId="49" fontId="26" fillId="0" borderId="2" xfId="0" applyNumberFormat="1" applyFont="1" applyFill="1" applyBorder="1" applyAlignment="1">
      <alignment horizontal="center" vertical="top" wrapText="1"/>
    </xf>
    <xf numFmtId="0" fontId="52" fillId="0" borderId="2" xfId="0" applyFont="1" applyBorder="1"/>
    <xf numFmtId="0" fontId="24" fillId="0" borderId="2" xfId="0" applyNumberFormat="1" applyFont="1" applyFill="1" applyBorder="1" applyAlignment="1">
      <alignment horizontal="left" vertical="center" wrapText="1"/>
    </xf>
    <xf numFmtId="0" fontId="24" fillId="7" borderId="2" xfId="0" applyNumberFormat="1" applyFont="1" applyFill="1" applyBorder="1" applyAlignment="1">
      <alignment horizontal="left" vertical="top" wrapText="1"/>
    </xf>
    <xf numFmtId="14" fontId="24" fillId="7" borderId="2" xfId="0" applyNumberFormat="1" applyFont="1" applyFill="1" applyBorder="1" applyAlignment="1">
      <alignment horizontal="center" vertical="top"/>
    </xf>
    <xf numFmtId="14" fontId="24" fillId="7" borderId="2" xfId="0" applyNumberFormat="1" applyFont="1" applyFill="1" applyBorder="1" applyAlignment="1">
      <alignment horizontal="center" vertical="top" wrapText="1"/>
    </xf>
    <xf numFmtId="0" fontId="24" fillId="7" borderId="2" xfId="0" applyFont="1" applyFill="1" applyBorder="1" applyAlignment="1">
      <alignment horizontal="center" vertical="top"/>
    </xf>
    <xf numFmtId="0" fontId="45" fillId="7" borderId="2" xfId="0" applyNumberFormat="1" applyFont="1" applyFill="1" applyBorder="1" applyAlignment="1">
      <alignment horizontal="left" vertical="top" wrapText="1"/>
    </xf>
    <xf numFmtId="0" fontId="45" fillId="7" borderId="2" xfId="0" applyNumberFormat="1" applyFont="1" applyFill="1" applyBorder="1" applyAlignment="1">
      <alignment horizontal="center" vertical="top" wrapText="1"/>
    </xf>
    <xf numFmtId="0" fontId="45" fillId="7" borderId="2" xfId="0" applyFont="1" applyFill="1" applyBorder="1" applyAlignment="1">
      <alignment horizontal="center" vertical="top"/>
    </xf>
    <xf numFmtId="0" fontId="45" fillId="7" borderId="2" xfId="0" applyFont="1" applyFill="1" applyBorder="1" applyAlignment="1">
      <alignment horizontal="center" vertical="top" wrapText="1"/>
    </xf>
    <xf numFmtId="14" fontId="45" fillId="7" borderId="2" xfId="0" applyNumberFormat="1" applyFont="1" applyFill="1" applyBorder="1" applyAlignment="1">
      <alignment horizontal="center" vertical="top"/>
    </xf>
  </cellXfs>
  <cellStyles count="8">
    <cellStyle name="Excel Built-in Normal" xfId="7"/>
    <cellStyle name="Normal_TMP_2" xfId="1"/>
    <cellStyle name="Обычный" xfId="0" builtinId="0"/>
    <cellStyle name="Обычный 2" xfId="6"/>
    <cellStyle name="Обычный 6" xfId="5"/>
    <cellStyle name="Стиль 1" xfId="2"/>
    <cellStyle name="Финансовый" xfId="3" builtinId="3"/>
    <cellStyle name="Финансовый 2" xfId="4"/>
  </cellStyles>
  <dxfs count="0"/>
  <tableStyles count="0" defaultTableStyle="TableStyleMedium9" defaultPivotStyle="PivotStyleLight16"/>
  <colors>
    <mruColors>
      <color rgb="FFBDC3E5"/>
      <color rgb="FFAFB6DF"/>
      <color rgb="FFABB2DD"/>
      <color rgb="FFB3D9FF"/>
      <color rgb="FFCDD1EB"/>
      <color rgb="FFBBC0E3"/>
      <color rgb="FF73ADBF"/>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lstData1">
    <pageSetUpPr fitToPage="1"/>
  </sheetPr>
  <dimension ref="A1:BVI885"/>
  <sheetViews>
    <sheetView view="pageBreakPreview" zoomScale="53" zoomScaleSheetLayoutView="53" workbookViewId="0">
      <pane xSplit="1" ySplit="12" topLeftCell="B862" activePane="bottomRight" state="frozen"/>
      <selection pane="topRight" activeCell="B1" sqref="B1"/>
      <selection pane="bottomLeft" activeCell="A14" sqref="A14"/>
      <selection pane="bottomRight" activeCell="E882" sqref="E882"/>
    </sheetView>
  </sheetViews>
  <sheetFormatPr defaultColWidth="9.140625" defaultRowHeight="18.75"/>
  <cols>
    <col min="1" max="1" width="9.140625" style="608" customWidth="1"/>
    <col min="2" max="2" width="60.28515625" style="275" customWidth="1"/>
    <col min="3" max="3" width="18.28515625" style="276" customWidth="1"/>
    <col min="4" max="4" width="13.28515625" style="277" customWidth="1"/>
    <col min="5" max="6" width="4.5703125" style="367" customWidth="1"/>
    <col min="7" max="7" width="14.85546875" style="367" customWidth="1"/>
    <col min="8" max="8" width="8.42578125" style="367" bestFit="1" customWidth="1"/>
    <col min="9" max="9" width="38.28515625" style="278" customWidth="1"/>
    <col min="10" max="10" width="16.140625" style="279" customWidth="1"/>
    <col min="11" max="11" width="12.140625" style="277" customWidth="1"/>
    <col min="12" max="12" width="17.85546875" style="280" customWidth="1"/>
    <col min="13" max="23" width="15" style="280" customWidth="1"/>
    <col min="24" max="16384" width="9.140625" style="281"/>
  </cols>
  <sheetData>
    <row r="1" spans="1:23" ht="16.5" customHeight="1">
      <c r="P1" s="503" t="s">
        <v>1221</v>
      </c>
      <c r="Q1" s="504"/>
      <c r="R1" s="504"/>
      <c r="S1" s="504"/>
      <c r="T1" s="504"/>
      <c r="U1" s="504"/>
      <c r="V1" s="504"/>
      <c r="W1" s="504"/>
    </row>
    <row r="2" spans="1:23">
      <c r="P2" s="504"/>
      <c r="Q2" s="504"/>
      <c r="R2" s="504"/>
      <c r="S2" s="504"/>
      <c r="T2" s="504"/>
      <c r="U2" s="504"/>
      <c r="V2" s="504"/>
      <c r="W2" s="504"/>
    </row>
    <row r="3" spans="1:23">
      <c r="B3" s="496" t="s">
        <v>1014</v>
      </c>
      <c r="C3" s="497"/>
      <c r="D3" s="498"/>
      <c r="E3" s="497"/>
      <c r="F3" s="497"/>
      <c r="G3" s="497"/>
      <c r="H3" s="497"/>
      <c r="I3" s="497"/>
      <c r="J3" s="497"/>
      <c r="K3" s="497"/>
      <c r="L3" s="499"/>
      <c r="M3" s="499"/>
      <c r="N3" s="499"/>
      <c r="O3" s="499"/>
      <c r="P3" s="499"/>
      <c r="Q3" s="499"/>
      <c r="R3" s="499"/>
      <c r="S3" s="499"/>
      <c r="T3" s="499"/>
      <c r="U3" s="499"/>
      <c r="V3" s="499"/>
    </row>
    <row r="4" spans="1:23" s="286" customFormat="1" hidden="1">
      <c r="A4" s="282"/>
      <c r="B4" s="282"/>
      <c r="C4" s="276"/>
      <c r="D4" s="283"/>
      <c r="E4" s="284"/>
      <c r="F4" s="284"/>
      <c r="G4" s="284"/>
      <c r="H4" s="284"/>
      <c r="I4" s="282"/>
      <c r="J4" s="285"/>
      <c r="K4" s="283" t="s">
        <v>290</v>
      </c>
      <c r="L4" s="280">
        <v>3836864.3</v>
      </c>
      <c r="M4" s="280">
        <v>4160695.8</v>
      </c>
      <c r="N4" s="280">
        <v>2375832.1</v>
      </c>
      <c r="O4" s="280">
        <v>3772986.8</v>
      </c>
      <c r="P4" s="280">
        <v>3772986.8</v>
      </c>
      <c r="Q4" s="280">
        <v>0</v>
      </c>
      <c r="R4" s="280">
        <v>3820383.0999999996</v>
      </c>
      <c r="S4" s="280">
        <v>3820383.0999999996</v>
      </c>
      <c r="T4" s="280">
        <v>0</v>
      </c>
      <c r="U4" s="280">
        <v>3886735.3</v>
      </c>
      <c r="V4" s="280">
        <v>3886735.3</v>
      </c>
      <c r="W4" s="280">
        <v>0</v>
      </c>
    </row>
    <row r="5" spans="1:23" s="294" customFormat="1" hidden="1">
      <c r="A5" s="288"/>
      <c r="B5" s="288"/>
      <c r="C5" s="289"/>
      <c r="D5" s="290"/>
      <c r="E5" s="291"/>
      <c r="F5" s="291"/>
      <c r="G5" s="291"/>
      <c r="H5" s="291"/>
      <c r="I5" s="288"/>
      <c r="J5" s="292"/>
      <c r="K5" s="290"/>
      <c r="L5" s="293">
        <f t="shared" ref="L5:W5" si="0">L11-L4</f>
        <v>-4.999999888241291E-3</v>
      </c>
      <c r="M5" s="293">
        <f t="shared" si="0"/>
        <v>-3.9999999105930328E-2</v>
      </c>
      <c r="N5" s="293">
        <f t="shared" si="0"/>
        <v>-2.0000000018626451E-2</v>
      </c>
      <c r="O5" s="293">
        <f t="shared" si="0"/>
        <v>0</v>
      </c>
      <c r="P5" s="293">
        <f t="shared" si="0"/>
        <v>0.10000000009313226</v>
      </c>
      <c r="Q5" s="293">
        <f t="shared" si="0"/>
        <v>0</v>
      </c>
      <c r="R5" s="293">
        <f t="shared" si="0"/>
        <v>0</v>
      </c>
      <c r="S5" s="293">
        <f t="shared" si="0"/>
        <v>0</v>
      </c>
      <c r="T5" s="293">
        <f t="shared" si="0"/>
        <v>0</v>
      </c>
      <c r="U5" s="293">
        <f t="shared" si="0"/>
        <v>-9.9999997764825821E-3</v>
      </c>
      <c r="V5" s="293">
        <f t="shared" si="0"/>
        <v>-9.9999997764825821E-3</v>
      </c>
      <c r="W5" s="293">
        <f t="shared" si="0"/>
        <v>0</v>
      </c>
    </row>
    <row r="6" spans="1:23" s="295" customFormat="1">
      <c r="A6" s="520" t="s">
        <v>0</v>
      </c>
      <c r="B6" s="621" t="s">
        <v>27</v>
      </c>
      <c r="C6" s="501" t="s">
        <v>61</v>
      </c>
      <c r="D6" s="647" t="s">
        <v>347</v>
      </c>
      <c r="E6" s="493" t="s">
        <v>24</v>
      </c>
      <c r="F6" s="494"/>
      <c r="G6" s="494"/>
      <c r="H6" s="494"/>
      <c r="I6" s="490" t="s">
        <v>30</v>
      </c>
      <c r="J6" s="490" t="s">
        <v>1</v>
      </c>
      <c r="K6" s="490" t="s">
        <v>28</v>
      </c>
      <c r="L6" s="491" t="s">
        <v>2</v>
      </c>
      <c r="M6" s="491"/>
      <c r="N6" s="491"/>
      <c r="O6" s="491"/>
      <c r="P6" s="491"/>
      <c r="Q6" s="491"/>
      <c r="R6" s="491"/>
      <c r="S6" s="491"/>
      <c r="T6" s="491"/>
      <c r="U6" s="491"/>
      <c r="V6" s="491"/>
      <c r="W6" s="491"/>
    </row>
    <row r="7" spans="1:23" s="295" customFormat="1">
      <c r="A7" s="520"/>
      <c r="B7" s="622"/>
      <c r="C7" s="501"/>
      <c r="D7" s="648"/>
      <c r="E7" s="490" t="s">
        <v>3</v>
      </c>
      <c r="F7" s="490" t="s">
        <v>4</v>
      </c>
      <c r="G7" s="490" t="s">
        <v>5</v>
      </c>
      <c r="H7" s="490" t="s">
        <v>6</v>
      </c>
      <c r="I7" s="490"/>
      <c r="J7" s="490"/>
      <c r="K7" s="490"/>
      <c r="L7" s="491"/>
      <c r="M7" s="491"/>
      <c r="N7" s="491"/>
      <c r="O7" s="491"/>
      <c r="P7" s="491"/>
      <c r="Q7" s="491"/>
      <c r="R7" s="491"/>
      <c r="S7" s="491"/>
      <c r="T7" s="491"/>
      <c r="U7" s="491"/>
      <c r="V7" s="491"/>
      <c r="W7" s="491"/>
    </row>
    <row r="8" spans="1:23" s="295" customFormat="1">
      <c r="A8" s="520"/>
      <c r="B8" s="622"/>
      <c r="C8" s="501"/>
      <c r="D8" s="648"/>
      <c r="E8" s="490"/>
      <c r="F8" s="490"/>
      <c r="G8" s="490"/>
      <c r="H8" s="490"/>
      <c r="I8" s="490"/>
      <c r="J8" s="490"/>
      <c r="K8" s="490"/>
      <c r="L8" s="491" t="s">
        <v>1216</v>
      </c>
      <c r="M8" s="491" t="s">
        <v>1217</v>
      </c>
      <c r="N8" s="491" t="s">
        <v>1223</v>
      </c>
      <c r="O8" s="500" t="s">
        <v>1218</v>
      </c>
      <c r="P8" s="500"/>
      <c r="Q8" s="500"/>
      <c r="R8" s="500" t="s">
        <v>1219</v>
      </c>
      <c r="S8" s="500"/>
      <c r="T8" s="500"/>
      <c r="U8" s="500" t="s">
        <v>1220</v>
      </c>
      <c r="V8" s="500"/>
      <c r="W8" s="500"/>
    </row>
    <row r="9" spans="1:23" s="295" customFormat="1" ht="94.5" customHeight="1">
      <c r="A9" s="520"/>
      <c r="B9" s="623"/>
      <c r="C9" s="501"/>
      <c r="D9" s="649"/>
      <c r="E9" s="490"/>
      <c r="F9" s="490"/>
      <c r="G9" s="490"/>
      <c r="H9" s="490"/>
      <c r="I9" s="490"/>
      <c r="J9" s="490"/>
      <c r="K9" s="490"/>
      <c r="L9" s="491"/>
      <c r="M9" s="491"/>
      <c r="N9" s="491"/>
      <c r="O9" s="296" t="s">
        <v>29</v>
      </c>
      <c r="P9" s="296" t="s">
        <v>7</v>
      </c>
      <c r="Q9" s="296" t="s">
        <v>8</v>
      </c>
      <c r="R9" s="296" t="s">
        <v>29</v>
      </c>
      <c r="S9" s="296" t="s">
        <v>7</v>
      </c>
      <c r="T9" s="296" t="s">
        <v>8</v>
      </c>
      <c r="U9" s="296" t="s">
        <v>29</v>
      </c>
      <c r="V9" s="296" t="s">
        <v>7</v>
      </c>
      <c r="W9" s="296" t="s">
        <v>8</v>
      </c>
    </row>
    <row r="10" spans="1:23" s="295" customFormat="1">
      <c r="A10" s="335" t="s">
        <v>25</v>
      </c>
      <c r="B10" s="298">
        <v>2</v>
      </c>
      <c r="C10" s="299" t="s">
        <v>59</v>
      </c>
      <c r="D10" s="300" t="s">
        <v>60</v>
      </c>
      <c r="E10" s="300" t="s">
        <v>52</v>
      </c>
      <c r="F10" s="300" t="s">
        <v>53</v>
      </c>
      <c r="G10" s="300" t="s">
        <v>54</v>
      </c>
      <c r="H10" s="300" t="s">
        <v>26</v>
      </c>
      <c r="I10" s="297" t="s">
        <v>55</v>
      </c>
      <c r="J10" s="48" t="s">
        <v>80</v>
      </c>
      <c r="K10" s="297" t="s">
        <v>81</v>
      </c>
      <c r="L10" s="48" t="s">
        <v>82</v>
      </c>
      <c r="M10" s="48" t="s">
        <v>83</v>
      </c>
      <c r="N10" s="48" t="s">
        <v>84</v>
      </c>
      <c r="O10" s="495" t="s">
        <v>85</v>
      </c>
      <c r="P10" s="495"/>
      <c r="Q10" s="495"/>
      <c r="R10" s="495" t="s">
        <v>86</v>
      </c>
      <c r="S10" s="495"/>
      <c r="T10" s="495"/>
      <c r="U10" s="495" t="s">
        <v>87</v>
      </c>
      <c r="V10" s="495"/>
      <c r="W10" s="495"/>
    </row>
    <row r="11" spans="1:23" s="308" customFormat="1">
      <c r="A11" s="627"/>
      <c r="B11" s="302" t="s">
        <v>224</v>
      </c>
      <c r="C11" s="303"/>
      <c r="D11" s="304"/>
      <c r="E11" s="304"/>
      <c r="F11" s="304"/>
      <c r="G11" s="304"/>
      <c r="H11" s="304"/>
      <c r="I11" s="301"/>
      <c r="J11" s="305"/>
      <c r="K11" s="306"/>
      <c r="L11" s="307">
        <f>L13+L37+L42+L70+L103+L136+L166+L202+L228+L263+L291+L317+L336+L362+L369+L468+L545+L573+L619+L715+L729</f>
        <v>3836864.2949999999</v>
      </c>
      <c r="M11" s="307">
        <f t="shared" ref="M11:W11" si="1">M13+M37+M42+M70+M103+M136+M166+M202+M228+M263+M291+M317+M336+M362+M369+M468+M545+M573+M619+M715+M729</f>
        <v>4160695.7600000007</v>
      </c>
      <c r="N11" s="307">
        <f t="shared" si="1"/>
        <v>2375832.08</v>
      </c>
      <c r="O11" s="307">
        <f t="shared" si="1"/>
        <v>3772986.8</v>
      </c>
      <c r="P11" s="307">
        <f t="shared" si="1"/>
        <v>3772986.9</v>
      </c>
      <c r="Q11" s="307">
        <f t="shared" si="1"/>
        <v>0</v>
      </c>
      <c r="R11" s="307">
        <f t="shared" si="1"/>
        <v>3820383.1</v>
      </c>
      <c r="S11" s="307">
        <f t="shared" si="1"/>
        <v>3820383.1</v>
      </c>
      <c r="T11" s="307">
        <f t="shared" si="1"/>
        <v>0</v>
      </c>
      <c r="U11" s="307">
        <f t="shared" si="1"/>
        <v>3886735.29</v>
      </c>
      <c r="V11" s="307">
        <f t="shared" si="1"/>
        <v>3886735.29</v>
      </c>
      <c r="W11" s="307">
        <f t="shared" si="1"/>
        <v>0</v>
      </c>
    </row>
    <row r="12" spans="1:23" s="308" customFormat="1">
      <c r="A12" s="628"/>
      <c r="B12" s="309"/>
      <c r="C12" s="310"/>
      <c r="D12" s="311"/>
      <c r="E12" s="311"/>
      <c r="F12" s="311"/>
      <c r="G12" s="311"/>
      <c r="H12" s="311"/>
      <c r="I12" s="312"/>
      <c r="J12" s="313"/>
      <c r="K12" s="314"/>
      <c r="L12" s="315"/>
      <c r="M12" s="315"/>
      <c r="N12" s="315"/>
      <c r="O12" s="315"/>
      <c r="P12" s="315"/>
      <c r="Q12" s="315"/>
      <c r="R12" s="315"/>
      <c r="S12" s="315"/>
      <c r="T12" s="315"/>
      <c r="U12" s="315"/>
      <c r="V12" s="315"/>
      <c r="W12" s="315"/>
    </row>
    <row r="13" spans="1:23" s="559" customFormat="1" ht="56.25">
      <c r="A13" s="629" t="s">
        <v>150</v>
      </c>
      <c r="B13" s="98" t="s">
        <v>151</v>
      </c>
      <c r="C13" s="8"/>
      <c r="D13" s="644"/>
      <c r="E13" s="644"/>
      <c r="F13" s="644"/>
      <c r="G13" s="644"/>
      <c r="H13" s="644"/>
      <c r="I13" s="8"/>
      <c r="J13" s="8"/>
      <c r="K13" s="8" t="s">
        <v>62</v>
      </c>
      <c r="L13" s="19">
        <f>SUM(L14,L29,L32,L34)</f>
        <v>42602.3</v>
      </c>
      <c r="M13" s="19">
        <f t="shared" ref="M13:W13" si="2">SUM(M14,M29,M32,M34)</f>
        <v>83604.7</v>
      </c>
      <c r="N13" s="19">
        <f t="shared" si="2"/>
        <v>26893.3</v>
      </c>
      <c r="O13" s="19">
        <f t="shared" si="2"/>
        <v>84761.300000000017</v>
      </c>
      <c r="P13" s="19">
        <f t="shared" si="2"/>
        <v>84761.300000000017</v>
      </c>
      <c r="Q13" s="19">
        <f t="shared" si="2"/>
        <v>0</v>
      </c>
      <c r="R13" s="19">
        <f t="shared" si="2"/>
        <v>90656.9</v>
      </c>
      <c r="S13" s="19">
        <f t="shared" si="2"/>
        <v>90656.9</v>
      </c>
      <c r="T13" s="19">
        <f t="shared" si="2"/>
        <v>0</v>
      </c>
      <c r="U13" s="19">
        <f t="shared" si="2"/>
        <v>95785.600000000006</v>
      </c>
      <c r="V13" s="19">
        <f t="shared" si="2"/>
        <v>95785.600000000006</v>
      </c>
      <c r="W13" s="19">
        <f t="shared" si="2"/>
        <v>0</v>
      </c>
    </row>
    <row r="14" spans="1:23" s="559" customFormat="1">
      <c r="A14" s="630" t="s">
        <v>9</v>
      </c>
      <c r="B14" s="421" t="s">
        <v>67</v>
      </c>
      <c r="C14" s="421"/>
      <c r="D14" s="421"/>
      <c r="E14" s="421"/>
      <c r="F14" s="421"/>
      <c r="G14" s="421"/>
      <c r="H14" s="421"/>
      <c r="I14" s="421"/>
      <c r="J14" s="421"/>
      <c r="K14" s="421"/>
      <c r="L14" s="20">
        <f>SUM(L15,L19,L26)</f>
        <v>39828.6</v>
      </c>
      <c r="M14" s="20">
        <f t="shared" ref="M14:W14" si="3">SUM(M15,M19,M26)</f>
        <v>62693.599999999999</v>
      </c>
      <c r="N14" s="20">
        <f t="shared" si="3"/>
        <v>26865</v>
      </c>
      <c r="O14" s="20">
        <f t="shared" si="3"/>
        <v>58682.700000000004</v>
      </c>
      <c r="P14" s="20">
        <f t="shared" si="3"/>
        <v>58682.700000000004</v>
      </c>
      <c r="Q14" s="20">
        <f t="shared" si="3"/>
        <v>0</v>
      </c>
      <c r="R14" s="20">
        <f t="shared" si="3"/>
        <v>49736.4</v>
      </c>
      <c r="S14" s="20">
        <f t="shared" si="3"/>
        <v>49736.4</v>
      </c>
      <c r="T14" s="20">
        <f t="shared" si="3"/>
        <v>0</v>
      </c>
      <c r="U14" s="20">
        <f t="shared" si="3"/>
        <v>47816.7</v>
      </c>
      <c r="V14" s="20">
        <f t="shared" si="3"/>
        <v>47816.7</v>
      </c>
      <c r="W14" s="20">
        <f t="shared" si="3"/>
        <v>0</v>
      </c>
    </row>
    <row r="15" spans="1:23" s="559" customFormat="1">
      <c r="A15" s="133" t="s">
        <v>57</v>
      </c>
      <c r="B15" s="229"/>
      <c r="C15" s="41"/>
      <c r="D15" s="218"/>
      <c r="E15" s="250"/>
      <c r="F15" s="250"/>
      <c r="G15" s="250"/>
      <c r="H15" s="250"/>
      <c r="I15" s="252"/>
      <c r="J15" s="41"/>
      <c r="K15" s="218"/>
      <c r="L15" s="22">
        <f>SUM(L16:L18)</f>
        <v>30974.3</v>
      </c>
      <c r="M15" s="22">
        <f t="shared" ref="M15:W15" si="4">SUM(M16:M18)</f>
        <v>41241.199999999997</v>
      </c>
      <c r="N15" s="22">
        <f t="shared" si="4"/>
        <v>20906.3</v>
      </c>
      <c r="O15" s="22">
        <f t="shared" si="4"/>
        <v>49445.599999999999</v>
      </c>
      <c r="P15" s="22">
        <f t="shared" si="4"/>
        <v>49445.599999999999</v>
      </c>
      <c r="Q15" s="22">
        <f t="shared" si="4"/>
        <v>0</v>
      </c>
      <c r="R15" s="22">
        <f t="shared" si="4"/>
        <v>40584.9</v>
      </c>
      <c r="S15" s="22">
        <f t="shared" si="4"/>
        <v>40584.9</v>
      </c>
      <c r="T15" s="22">
        <f t="shared" si="4"/>
        <v>0</v>
      </c>
      <c r="U15" s="22">
        <f t="shared" si="4"/>
        <v>38573.1</v>
      </c>
      <c r="V15" s="22">
        <f t="shared" si="4"/>
        <v>38573.1</v>
      </c>
      <c r="W15" s="22">
        <f t="shared" si="4"/>
        <v>0</v>
      </c>
    </row>
    <row r="16" spans="1:23" s="559" customFormat="1" ht="47.25">
      <c r="A16" s="225" t="s">
        <v>10</v>
      </c>
      <c r="B16" s="229" t="s">
        <v>68</v>
      </c>
      <c r="C16" s="218"/>
      <c r="D16" s="218" t="s">
        <v>348</v>
      </c>
      <c r="E16" s="108" t="s">
        <v>419</v>
      </c>
      <c r="F16" s="108" t="s">
        <v>294</v>
      </c>
      <c r="G16" s="108" t="s">
        <v>1224</v>
      </c>
      <c r="H16" s="250">
        <v>100</v>
      </c>
      <c r="I16" s="525" t="s">
        <v>195</v>
      </c>
      <c r="J16" s="528" t="s">
        <v>1225</v>
      </c>
      <c r="K16" s="218"/>
      <c r="L16" s="25">
        <v>29634.7</v>
      </c>
      <c r="M16" s="25">
        <v>39674.699999999997</v>
      </c>
      <c r="N16" s="25">
        <v>20054.3</v>
      </c>
      <c r="O16" s="25">
        <f>SUM(P16:Q16)</f>
        <v>47768.6</v>
      </c>
      <c r="P16" s="25">
        <v>47768.6</v>
      </c>
      <c r="Q16" s="25"/>
      <c r="R16" s="25">
        <f>SUM(S16:T16)</f>
        <v>38923.5</v>
      </c>
      <c r="S16" s="25">
        <v>38923.5</v>
      </c>
      <c r="T16" s="25"/>
      <c r="U16" s="25">
        <f>SUM(V16:W16)</f>
        <v>36894.9</v>
      </c>
      <c r="V16" s="25">
        <v>36894.9</v>
      </c>
      <c r="W16" s="25"/>
    </row>
    <row r="17" spans="1:1933" s="559" customFormat="1" ht="37.5">
      <c r="A17" s="225" t="s">
        <v>11</v>
      </c>
      <c r="B17" s="229" t="s">
        <v>69</v>
      </c>
      <c r="C17" s="252"/>
      <c r="D17" s="226" t="s">
        <v>349</v>
      </c>
      <c r="E17" s="108" t="s">
        <v>350</v>
      </c>
      <c r="F17" s="108" t="s">
        <v>351</v>
      </c>
      <c r="G17" s="108" t="s">
        <v>352</v>
      </c>
      <c r="H17" s="250">
        <v>200</v>
      </c>
      <c r="I17" s="526"/>
      <c r="J17" s="529"/>
      <c r="K17" s="217"/>
      <c r="L17" s="25">
        <v>1339.6</v>
      </c>
      <c r="M17" s="25">
        <v>1565</v>
      </c>
      <c r="N17" s="25">
        <v>850.5</v>
      </c>
      <c r="O17" s="25">
        <f>SUM(P17:Q17)</f>
        <v>1677</v>
      </c>
      <c r="P17" s="25">
        <v>1677</v>
      </c>
      <c r="Q17" s="25"/>
      <c r="R17" s="25">
        <f>SUM(S17:T17)</f>
        <v>1661.4</v>
      </c>
      <c r="S17" s="25">
        <v>1661.4</v>
      </c>
      <c r="T17" s="25"/>
      <c r="U17" s="25">
        <f>SUM(V17:W17)</f>
        <v>1678.2</v>
      </c>
      <c r="V17" s="25">
        <v>1678.2</v>
      </c>
      <c r="W17" s="25"/>
    </row>
    <row r="18" spans="1:1933" s="559" customFormat="1" ht="31.5">
      <c r="A18" s="225" t="s">
        <v>20</v>
      </c>
      <c r="B18" s="229" t="s">
        <v>31</v>
      </c>
      <c r="C18" s="252"/>
      <c r="D18" s="226" t="s">
        <v>349</v>
      </c>
      <c r="E18" s="108" t="s">
        <v>350</v>
      </c>
      <c r="F18" s="108" t="s">
        <v>351</v>
      </c>
      <c r="G18" s="108" t="s">
        <v>352</v>
      </c>
      <c r="H18" s="250">
        <v>800</v>
      </c>
      <c r="I18" s="527"/>
      <c r="J18" s="530"/>
      <c r="K18" s="217"/>
      <c r="L18" s="25"/>
      <c r="M18" s="25">
        <v>1.5</v>
      </c>
      <c r="N18" s="25">
        <v>1.5</v>
      </c>
      <c r="O18" s="25">
        <f>SUM(P18:Q18)</f>
        <v>0</v>
      </c>
      <c r="P18" s="25"/>
      <c r="Q18" s="25"/>
      <c r="R18" s="25">
        <f>SUM(S18:T18)</f>
        <v>0</v>
      </c>
      <c r="S18" s="25"/>
      <c r="T18" s="25"/>
      <c r="U18" s="25">
        <f>SUM(V18:W18)</f>
        <v>0</v>
      </c>
      <c r="V18" s="25"/>
      <c r="W18" s="25"/>
    </row>
    <row r="19" spans="1:1933" s="559" customFormat="1">
      <c r="A19" s="416" t="s">
        <v>88</v>
      </c>
      <c r="B19" s="416"/>
      <c r="C19" s="416"/>
      <c r="D19" s="416"/>
      <c r="E19" s="416"/>
      <c r="F19" s="416"/>
      <c r="G19" s="416"/>
      <c r="H19" s="416"/>
      <c r="I19" s="416"/>
      <c r="J19" s="416"/>
      <c r="K19" s="416"/>
      <c r="L19" s="22">
        <f t="shared" ref="L19:W19" si="5">SUM(L20,L22,L24)</f>
        <v>8514.4</v>
      </c>
      <c r="M19" s="22">
        <f t="shared" si="5"/>
        <v>9087.9</v>
      </c>
      <c r="N19" s="22">
        <f t="shared" si="5"/>
        <v>5756.2000000000007</v>
      </c>
      <c r="O19" s="22">
        <f t="shared" si="5"/>
        <v>8973.7000000000007</v>
      </c>
      <c r="P19" s="22">
        <f t="shared" si="5"/>
        <v>8973.7000000000007</v>
      </c>
      <c r="Q19" s="22">
        <f t="shared" si="5"/>
        <v>0</v>
      </c>
      <c r="R19" s="22">
        <f t="shared" si="5"/>
        <v>8890.4999999999982</v>
      </c>
      <c r="S19" s="22">
        <f t="shared" si="5"/>
        <v>8890.4999999999982</v>
      </c>
      <c r="T19" s="22">
        <f t="shared" si="5"/>
        <v>0</v>
      </c>
      <c r="U19" s="22">
        <f t="shared" si="5"/>
        <v>8979.9999999999982</v>
      </c>
      <c r="V19" s="22">
        <f t="shared" si="5"/>
        <v>8979.9999999999982</v>
      </c>
      <c r="W19" s="22">
        <f t="shared" si="5"/>
        <v>0</v>
      </c>
    </row>
    <row r="20" spans="1:1933" s="559" customFormat="1">
      <c r="A20" s="225" t="s">
        <v>12</v>
      </c>
      <c r="B20" s="229" t="s">
        <v>58</v>
      </c>
      <c r="C20" s="218"/>
      <c r="D20" s="218"/>
      <c r="E20" s="250"/>
      <c r="F20" s="250"/>
      <c r="G20" s="250"/>
      <c r="H20" s="250">
        <v>100</v>
      </c>
      <c r="I20" s="252"/>
      <c r="J20" s="218"/>
      <c r="K20" s="218"/>
      <c r="L20" s="25">
        <f t="shared" ref="L20:W20" si="6">SUM(L21:L21)</f>
        <v>7803.4</v>
      </c>
      <c r="M20" s="25">
        <f t="shared" si="6"/>
        <v>8551.5</v>
      </c>
      <c r="N20" s="25">
        <f t="shared" si="6"/>
        <v>5372.1</v>
      </c>
      <c r="O20" s="25">
        <f t="shared" si="6"/>
        <v>8505.2000000000007</v>
      </c>
      <c r="P20" s="25">
        <f t="shared" si="6"/>
        <v>8505.2000000000007</v>
      </c>
      <c r="Q20" s="25">
        <f t="shared" si="6"/>
        <v>0</v>
      </c>
      <c r="R20" s="25">
        <f t="shared" si="6"/>
        <v>8426.4</v>
      </c>
      <c r="S20" s="25">
        <f t="shared" si="6"/>
        <v>8426.4</v>
      </c>
      <c r="T20" s="25">
        <f t="shared" si="6"/>
        <v>0</v>
      </c>
      <c r="U20" s="25">
        <f t="shared" si="6"/>
        <v>8511.2999999999993</v>
      </c>
      <c r="V20" s="25">
        <f t="shared" si="6"/>
        <v>8511.2999999999993</v>
      </c>
      <c r="W20" s="25">
        <f t="shared" si="6"/>
        <v>0</v>
      </c>
    </row>
    <row r="21" spans="1:1933" s="559" customFormat="1" ht="31.5">
      <c r="A21" s="225" t="s">
        <v>48</v>
      </c>
      <c r="B21" s="229" t="s">
        <v>307</v>
      </c>
      <c r="C21" s="218"/>
      <c r="D21" s="226" t="s">
        <v>353</v>
      </c>
      <c r="E21" s="108" t="s">
        <v>350</v>
      </c>
      <c r="F21" s="108" t="s">
        <v>354</v>
      </c>
      <c r="G21" s="108" t="s">
        <v>355</v>
      </c>
      <c r="H21" s="250">
        <v>100</v>
      </c>
      <c r="I21" s="252"/>
      <c r="J21" s="218"/>
      <c r="K21" s="218"/>
      <c r="L21" s="25">
        <v>7803.4</v>
      </c>
      <c r="M21" s="25">
        <v>8551.5</v>
      </c>
      <c r="N21" s="25">
        <v>5372.1</v>
      </c>
      <c r="O21" s="25">
        <f>SUM(P21:Q21)</f>
        <v>8505.2000000000007</v>
      </c>
      <c r="P21" s="25">
        <v>8505.2000000000007</v>
      </c>
      <c r="Q21" s="25"/>
      <c r="R21" s="25">
        <f>SUM(S21:T21)</f>
        <v>8426.4</v>
      </c>
      <c r="S21" s="25">
        <v>8426.4</v>
      </c>
      <c r="T21" s="25"/>
      <c r="U21" s="25">
        <f>SUM(V21:W21)</f>
        <v>8511.2999999999993</v>
      </c>
      <c r="V21" s="25">
        <v>8511.2999999999993</v>
      </c>
      <c r="W21" s="25"/>
    </row>
    <row r="22" spans="1:1933" s="559" customFormat="1" ht="37.5">
      <c r="A22" s="225" t="s">
        <v>13</v>
      </c>
      <c r="B22" s="229" t="s">
        <v>32</v>
      </c>
      <c r="C22" s="252"/>
      <c r="D22" s="217"/>
      <c r="E22" s="250"/>
      <c r="F22" s="250"/>
      <c r="G22" s="250"/>
      <c r="H22" s="250">
        <v>200</v>
      </c>
      <c r="I22" s="252"/>
      <c r="J22" s="252"/>
      <c r="K22" s="217"/>
      <c r="L22" s="25">
        <f t="shared" ref="L22:W22" si="7">SUM(L23:L23)</f>
        <v>711</v>
      </c>
      <c r="M22" s="25">
        <f t="shared" si="7"/>
        <v>535.5</v>
      </c>
      <c r="N22" s="25">
        <f t="shared" si="7"/>
        <v>384.1</v>
      </c>
      <c r="O22" s="25">
        <f t="shared" si="7"/>
        <v>467.7</v>
      </c>
      <c r="P22" s="25">
        <f t="shared" si="7"/>
        <v>467.7</v>
      </c>
      <c r="Q22" s="25">
        <f t="shared" si="7"/>
        <v>0</v>
      </c>
      <c r="R22" s="25">
        <f t="shared" si="7"/>
        <v>463.3</v>
      </c>
      <c r="S22" s="25">
        <f t="shared" si="7"/>
        <v>463.3</v>
      </c>
      <c r="T22" s="25">
        <f t="shared" si="7"/>
        <v>0</v>
      </c>
      <c r="U22" s="25">
        <f t="shared" si="7"/>
        <v>467.9</v>
      </c>
      <c r="V22" s="25">
        <f t="shared" si="7"/>
        <v>467.9</v>
      </c>
      <c r="W22" s="25">
        <f t="shared" si="7"/>
        <v>0</v>
      </c>
    </row>
    <row r="23" spans="1:1933" s="559" customFormat="1" ht="31.5">
      <c r="A23" s="225" t="s">
        <v>49</v>
      </c>
      <c r="B23" s="229" t="s">
        <v>307</v>
      </c>
      <c r="C23" s="252"/>
      <c r="D23" s="226" t="s">
        <v>353</v>
      </c>
      <c r="E23" s="108" t="s">
        <v>350</v>
      </c>
      <c r="F23" s="108" t="s">
        <v>354</v>
      </c>
      <c r="G23" s="108" t="s">
        <v>355</v>
      </c>
      <c r="H23" s="250">
        <v>200</v>
      </c>
      <c r="I23" s="252"/>
      <c r="J23" s="252"/>
      <c r="K23" s="217"/>
      <c r="L23" s="25">
        <v>711</v>
      </c>
      <c r="M23" s="25">
        <v>535.5</v>
      </c>
      <c r="N23" s="25">
        <v>384.1</v>
      </c>
      <c r="O23" s="25">
        <f>SUM(P23:Q23)</f>
        <v>467.7</v>
      </c>
      <c r="P23" s="25">
        <v>467.7</v>
      </c>
      <c r="Q23" s="25"/>
      <c r="R23" s="25">
        <f>SUM(S23:T23)</f>
        <v>463.3</v>
      </c>
      <c r="S23" s="25">
        <v>463.3</v>
      </c>
      <c r="T23" s="25"/>
      <c r="U23" s="25">
        <f>SUM(V23:W23)</f>
        <v>467.9</v>
      </c>
      <c r="V23" s="25">
        <v>467.9</v>
      </c>
      <c r="W23" s="25"/>
    </row>
    <row r="24" spans="1:1933" s="559" customFormat="1">
      <c r="A24" s="225" t="s">
        <v>50</v>
      </c>
      <c r="B24" s="229" t="s">
        <v>31</v>
      </c>
      <c r="C24" s="252"/>
      <c r="D24" s="217"/>
      <c r="E24" s="250"/>
      <c r="F24" s="250"/>
      <c r="G24" s="250"/>
      <c r="H24" s="250">
        <v>800</v>
      </c>
      <c r="I24" s="252"/>
      <c r="J24" s="252"/>
      <c r="K24" s="217"/>
      <c r="L24" s="25">
        <f>SUM(L25:L25)</f>
        <v>0</v>
      </c>
      <c r="M24" s="25">
        <f>SUM(M25:M25)</f>
        <v>0.9</v>
      </c>
      <c r="N24" s="25">
        <f>SUM(N25:N25)</f>
        <v>0</v>
      </c>
      <c r="O24" s="25">
        <f>SUM(P24)</f>
        <v>0.8</v>
      </c>
      <c r="P24" s="25">
        <v>0.8</v>
      </c>
      <c r="Q24" s="25">
        <f>SUM(Q25:Q25)</f>
        <v>0</v>
      </c>
      <c r="R24" s="25">
        <f>SUM(S24)</f>
        <v>0.8</v>
      </c>
      <c r="S24" s="25">
        <f>S25</f>
        <v>0.8</v>
      </c>
      <c r="T24" s="25">
        <f>SUM(T25:T25)</f>
        <v>0</v>
      </c>
      <c r="U24" s="25">
        <f>SUM(V24)</f>
        <v>0.8</v>
      </c>
      <c r="V24" s="25">
        <v>0.8</v>
      </c>
      <c r="W24" s="25">
        <f>SUM(W25:W25)</f>
        <v>0</v>
      </c>
    </row>
    <row r="25" spans="1:1933" s="559" customFormat="1" ht="31.5">
      <c r="A25" s="225" t="s">
        <v>51</v>
      </c>
      <c r="B25" s="229" t="s">
        <v>307</v>
      </c>
      <c r="C25" s="252"/>
      <c r="D25" s="226" t="s">
        <v>353</v>
      </c>
      <c r="E25" s="108" t="s">
        <v>350</v>
      </c>
      <c r="F25" s="108" t="s">
        <v>354</v>
      </c>
      <c r="G25" s="108" t="s">
        <v>355</v>
      </c>
      <c r="H25" s="250">
        <v>800</v>
      </c>
      <c r="I25" s="252"/>
      <c r="J25" s="252"/>
      <c r="K25" s="217"/>
      <c r="L25" s="25"/>
      <c r="M25" s="25">
        <v>0.9</v>
      </c>
      <c r="N25" s="25"/>
      <c r="O25" s="25">
        <f>SUM(P25:Q25)</f>
        <v>0.8</v>
      </c>
      <c r="P25" s="25">
        <v>0.8</v>
      </c>
      <c r="Q25" s="25"/>
      <c r="R25" s="25">
        <f>SUM(S25:T25)</f>
        <v>0.8</v>
      </c>
      <c r="S25" s="25">
        <v>0.8</v>
      </c>
      <c r="T25" s="25"/>
      <c r="U25" s="25">
        <f>SUM(V25:W25)</f>
        <v>0.8</v>
      </c>
      <c r="V25" s="25">
        <v>0.8</v>
      </c>
      <c r="W25" s="25"/>
    </row>
    <row r="26" spans="1:1933" s="559" customFormat="1">
      <c r="A26" s="416" t="s">
        <v>73</v>
      </c>
      <c r="B26" s="416"/>
      <c r="C26" s="416"/>
      <c r="D26" s="416"/>
      <c r="E26" s="416"/>
      <c r="F26" s="416"/>
      <c r="G26" s="416"/>
      <c r="H26" s="416"/>
      <c r="I26" s="416"/>
      <c r="J26" s="416"/>
      <c r="K26" s="416"/>
      <c r="L26" s="28">
        <f>SUM(L27)</f>
        <v>339.9</v>
      </c>
      <c r="M26" s="28">
        <f t="shared" ref="M26:W26" si="8">SUM(M27)</f>
        <v>12364.5</v>
      </c>
      <c r="N26" s="28">
        <f t="shared" si="8"/>
        <v>202.5</v>
      </c>
      <c r="O26" s="28">
        <f t="shared" si="8"/>
        <v>263.39999999999998</v>
      </c>
      <c r="P26" s="28">
        <f t="shared" si="8"/>
        <v>263.39999999999998</v>
      </c>
      <c r="Q26" s="28">
        <f t="shared" si="8"/>
        <v>0</v>
      </c>
      <c r="R26" s="28">
        <f t="shared" si="8"/>
        <v>261</v>
      </c>
      <c r="S26" s="28">
        <f t="shared" si="8"/>
        <v>261</v>
      </c>
      <c r="T26" s="28">
        <f t="shared" si="8"/>
        <v>0</v>
      </c>
      <c r="U26" s="28">
        <f t="shared" si="8"/>
        <v>263.60000000000002</v>
      </c>
      <c r="V26" s="28">
        <f t="shared" si="8"/>
        <v>263.60000000000002</v>
      </c>
      <c r="W26" s="28">
        <f t="shared" si="8"/>
        <v>0</v>
      </c>
      <c r="X26" s="560"/>
      <c r="Y26" s="560"/>
      <c r="Z26" s="560"/>
      <c r="AA26" s="560"/>
      <c r="AB26" s="560"/>
      <c r="AC26" s="560"/>
      <c r="AD26" s="560"/>
      <c r="AE26" s="560"/>
      <c r="AF26" s="560"/>
      <c r="AG26" s="560"/>
    </row>
    <row r="27" spans="1:1933" s="559" customFormat="1" ht="37.5">
      <c r="A27" s="225" t="s">
        <v>21</v>
      </c>
      <c r="B27" s="229" t="s">
        <v>89</v>
      </c>
      <c r="C27" s="252"/>
      <c r="D27" s="217"/>
      <c r="E27" s="250"/>
      <c r="F27" s="250"/>
      <c r="G27" s="250"/>
      <c r="H27" s="250">
        <v>200</v>
      </c>
      <c r="I27" s="521" t="s">
        <v>196</v>
      </c>
      <c r="J27" s="523" t="s">
        <v>1227</v>
      </c>
      <c r="K27" s="217"/>
      <c r="L27" s="25">
        <f t="shared" ref="L27:W27" si="9">SUM(L28:L28)</f>
        <v>339.9</v>
      </c>
      <c r="M27" s="25">
        <f t="shared" si="9"/>
        <v>12364.5</v>
      </c>
      <c r="N27" s="25">
        <f t="shared" si="9"/>
        <v>202.5</v>
      </c>
      <c r="O27" s="25">
        <f t="shared" si="9"/>
        <v>263.39999999999998</v>
      </c>
      <c r="P27" s="25">
        <f t="shared" si="9"/>
        <v>263.39999999999998</v>
      </c>
      <c r="Q27" s="25">
        <f t="shared" si="9"/>
        <v>0</v>
      </c>
      <c r="R27" s="25">
        <f t="shared" si="9"/>
        <v>261</v>
      </c>
      <c r="S27" s="25">
        <f t="shared" si="9"/>
        <v>261</v>
      </c>
      <c r="T27" s="25">
        <f t="shared" si="9"/>
        <v>0</v>
      </c>
      <c r="U27" s="25">
        <f t="shared" si="9"/>
        <v>263.60000000000002</v>
      </c>
      <c r="V27" s="25">
        <f t="shared" si="9"/>
        <v>263.60000000000002</v>
      </c>
      <c r="W27" s="25">
        <f t="shared" si="9"/>
        <v>0</v>
      </c>
    </row>
    <row r="28" spans="1:1933" s="559" customFormat="1" ht="56.25">
      <c r="A28" s="225" t="s">
        <v>42</v>
      </c>
      <c r="B28" s="229" t="s">
        <v>152</v>
      </c>
      <c r="C28" s="252"/>
      <c r="D28" s="218" t="s">
        <v>356</v>
      </c>
      <c r="E28" s="108" t="s">
        <v>93</v>
      </c>
      <c r="F28" s="108" t="s">
        <v>80</v>
      </c>
      <c r="G28" s="108" t="s">
        <v>1228</v>
      </c>
      <c r="H28" s="250">
        <v>200</v>
      </c>
      <c r="I28" s="522"/>
      <c r="J28" s="524"/>
      <c r="K28" s="217"/>
      <c r="L28" s="25">
        <v>339.9</v>
      </c>
      <c r="M28" s="25">
        <f>364.5+12000</f>
        <v>12364.5</v>
      </c>
      <c r="N28" s="25">
        <v>202.5</v>
      </c>
      <c r="O28" s="25">
        <f>SUM(P28:Q28)</f>
        <v>263.39999999999998</v>
      </c>
      <c r="P28" s="25">
        <v>263.39999999999998</v>
      </c>
      <c r="Q28" s="25"/>
      <c r="R28" s="25">
        <f>SUM(S28:T28)</f>
        <v>261</v>
      </c>
      <c r="S28" s="25">
        <v>261</v>
      </c>
      <c r="T28" s="25"/>
      <c r="U28" s="25">
        <f>SUM(V28:W28)</f>
        <v>263.60000000000002</v>
      </c>
      <c r="V28" s="25">
        <v>263.60000000000002</v>
      </c>
      <c r="W28" s="25"/>
    </row>
    <row r="29" spans="1:1933" s="559" customFormat="1">
      <c r="A29" s="630" t="s">
        <v>15</v>
      </c>
      <c r="B29" s="659" t="s">
        <v>16</v>
      </c>
      <c r="C29" s="660"/>
      <c r="D29" s="661"/>
      <c r="E29" s="662"/>
      <c r="F29" s="662"/>
      <c r="G29" s="662"/>
      <c r="H29" s="662">
        <v>300</v>
      </c>
      <c r="I29" s="663"/>
      <c r="J29" s="660"/>
      <c r="K29" s="664"/>
      <c r="L29" s="20">
        <f>SUM(L30,)</f>
        <v>71.900000000000006</v>
      </c>
      <c r="M29" s="20">
        <f t="shared" ref="M29:V29" si="10">SUM(M30,)</f>
        <v>48</v>
      </c>
      <c r="N29" s="20">
        <f t="shared" si="10"/>
        <v>28.3</v>
      </c>
      <c r="O29" s="20">
        <f t="shared" si="10"/>
        <v>48</v>
      </c>
      <c r="P29" s="20">
        <f t="shared" si="10"/>
        <v>48</v>
      </c>
      <c r="Q29" s="20">
        <f t="shared" si="10"/>
        <v>0</v>
      </c>
      <c r="R29" s="20">
        <f t="shared" si="10"/>
        <v>40</v>
      </c>
      <c r="S29" s="20">
        <f t="shared" si="10"/>
        <v>40</v>
      </c>
      <c r="T29" s="20">
        <f t="shared" si="10"/>
        <v>0</v>
      </c>
      <c r="U29" s="20">
        <f t="shared" si="10"/>
        <v>40</v>
      </c>
      <c r="V29" s="20">
        <f t="shared" si="10"/>
        <v>40</v>
      </c>
      <c r="W29" s="20">
        <f>SUM(W30,)</f>
        <v>0</v>
      </c>
    </row>
    <row r="30" spans="1:1933" s="562" customFormat="1" ht="56.25">
      <c r="A30" s="133" t="s">
        <v>18</v>
      </c>
      <c r="B30" s="205" t="s">
        <v>47</v>
      </c>
      <c r="C30" s="134"/>
      <c r="D30" s="135"/>
      <c r="E30" s="257"/>
      <c r="F30" s="257"/>
      <c r="G30" s="257"/>
      <c r="H30" s="257">
        <v>320</v>
      </c>
      <c r="I30" s="136"/>
      <c r="J30" s="134"/>
      <c r="K30" s="135"/>
      <c r="L30" s="22">
        <f t="shared" ref="L30:W30" si="11">SUM(L31:L31)</f>
        <v>71.900000000000006</v>
      </c>
      <c r="M30" s="22">
        <f t="shared" si="11"/>
        <v>48</v>
      </c>
      <c r="N30" s="22">
        <f t="shared" si="11"/>
        <v>28.3</v>
      </c>
      <c r="O30" s="22">
        <f t="shared" si="11"/>
        <v>48</v>
      </c>
      <c r="P30" s="22">
        <f t="shared" si="11"/>
        <v>48</v>
      </c>
      <c r="Q30" s="22">
        <f t="shared" si="11"/>
        <v>0</v>
      </c>
      <c r="R30" s="22">
        <f t="shared" si="11"/>
        <v>40</v>
      </c>
      <c r="S30" s="22">
        <f t="shared" si="11"/>
        <v>40</v>
      </c>
      <c r="T30" s="22">
        <f t="shared" si="11"/>
        <v>0</v>
      </c>
      <c r="U30" s="22">
        <f t="shared" si="11"/>
        <v>40</v>
      </c>
      <c r="V30" s="22">
        <f t="shared" si="11"/>
        <v>40</v>
      </c>
      <c r="W30" s="22">
        <f t="shared" si="11"/>
        <v>0</v>
      </c>
      <c r="X30" s="561"/>
      <c r="Y30" s="561"/>
      <c r="Z30" s="561"/>
      <c r="AA30" s="561"/>
      <c r="AB30" s="561"/>
      <c r="AC30" s="561"/>
      <c r="AD30" s="561"/>
      <c r="AE30" s="561"/>
      <c r="AF30" s="561"/>
      <c r="AG30" s="561"/>
      <c r="AH30" s="561"/>
      <c r="AI30" s="561"/>
      <c r="AJ30" s="561"/>
      <c r="AK30" s="561"/>
      <c r="AL30" s="561"/>
      <c r="AM30" s="561"/>
      <c r="AN30" s="561"/>
      <c r="AO30" s="561"/>
      <c r="AP30" s="561"/>
      <c r="AQ30" s="561"/>
      <c r="AR30" s="561"/>
      <c r="AS30" s="561"/>
      <c r="AT30" s="561"/>
      <c r="AU30" s="561"/>
      <c r="AV30" s="561"/>
      <c r="AW30" s="561"/>
      <c r="AX30" s="561"/>
      <c r="AY30" s="561"/>
      <c r="AZ30" s="561"/>
      <c r="BA30" s="561"/>
      <c r="BB30" s="561"/>
      <c r="BC30" s="561"/>
      <c r="BD30" s="561"/>
      <c r="BE30" s="561"/>
      <c r="BF30" s="561"/>
      <c r="BG30" s="561"/>
      <c r="BH30" s="561"/>
      <c r="BI30" s="561"/>
      <c r="BJ30" s="561"/>
      <c r="BK30" s="561"/>
      <c r="BL30" s="561"/>
      <c r="BM30" s="561"/>
      <c r="BN30" s="561"/>
      <c r="BO30" s="561"/>
      <c r="BP30" s="561"/>
      <c r="BQ30" s="561"/>
      <c r="BR30" s="561"/>
      <c r="BS30" s="561"/>
      <c r="BT30" s="561"/>
      <c r="BU30" s="561"/>
      <c r="BV30" s="561"/>
      <c r="BW30" s="561"/>
      <c r="BX30" s="561"/>
      <c r="BY30" s="561"/>
      <c r="BZ30" s="561"/>
      <c r="CA30" s="561"/>
      <c r="CB30" s="561"/>
      <c r="CC30" s="561"/>
      <c r="CD30" s="561"/>
      <c r="CE30" s="561"/>
      <c r="CF30" s="561"/>
      <c r="CG30" s="561"/>
      <c r="CH30" s="561"/>
      <c r="CI30" s="561"/>
      <c r="CJ30" s="561"/>
      <c r="CK30" s="561"/>
      <c r="CL30" s="561"/>
      <c r="CM30" s="561"/>
      <c r="CN30" s="561"/>
      <c r="CO30" s="561"/>
      <c r="CP30" s="561"/>
      <c r="CQ30" s="561"/>
      <c r="CR30" s="561"/>
      <c r="CS30" s="561"/>
      <c r="CT30" s="561"/>
      <c r="CU30" s="561"/>
      <c r="CV30" s="561"/>
      <c r="CW30" s="561"/>
      <c r="CX30" s="561"/>
      <c r="CY30" s="561"/>
      <c r="CZ30" s="561"/>
      <c r="DA30" s="561"/>
      <c r="DB30" s="561"/>
      <c r="DC30" s="561"/>
      <c r="DD30" s="561"/>
      <c r="DE30" s="561"/>
      <c r="DF30" s="561"/>
      <c r="DG30" s="561"/>
      <c r="DH30" s="561"/>
      <c r="DI30" s="561"/>
      <c r="DJ30" s="561"/>
      <c r="DK30" s="561"/>
      <c r="DL30" s="561"/>
      <c r="DM30" s="561"/>
      <c r="DN30" s="561"/>
      <c r="DO30" s="561"/>
      <c r="DP30" s="561"/>
      <c r="DQ30" s="561"/>
      <c r="DR30" s="561"/>
      <c r="DS30" s="561"/>
      <c r="DT30" s="561"/>
      <c r="DU30" s="561"/>
      <c r="DV30" s="561"/>
      <c r="DW30" s="561"/>
      <c r="DX30" s="561"/>
      <c r="DY30" s="561"/>
      <c r="DZ30" s="561"/>
      <c r="EA30" s="561"/>
      <c r="EB30" s="561"/>
      <c r="EC30" s="561"/>
      <c r="ED30" s="561"/>
      <c r="EE30" s="561"/>
      <c r="EF30" s="561"/>
      <c r="EG30" s="561"/>
      <c r="EH30" s="561"/>
      <c r="EI30" s="561"/>
      <c r="EJ30" s="561"/>
      <c r="EK30" s="561"/>
      <c r="EL30" s="561"/>
      <c r="EM30" s="561"/>
      <c r="EN30" s="561"/>
      <c r="EO30" s="561"/>
      <c r="EP30" s="561"/>
      <c r="EQ30" s="561"/>
      <c r="ER30" s="561"/>
      <c r="ES30" s="561"/>
      <c r="ET30" s="561"/>
      <c r="EU30" s="561"/>
      <c r="EV30" s="561"/>
      <c r="EW30" s="561"/>
      <c r="EX30" s="561"/>
      <c r="EY30" s="561"/>
      <c r="EZ30" s="561"/>
      <c r="FA30" s="561"/>
      <c r="FB30" s="561"/>
      <c r="FC30" s="561"/>
      <c r="FD30" s="561"/>
      <c r="FE30" s="561"/>
      <c r="FF30" s="561"/>
      <c r="FG30" s="561"/>
      <c r="FH30" s="561"/>
      <c r="FI30" s="561"/>
      <c r="FJ30" s="561"/>
      <c r="FK30" s="561"/>
      <c r="FL30" s="561"/>
      <c r="FM30" s="561"/>
      <c r="FN30" s="561"/>
      <c r="FO30" s="561"/>
      <c r="FP30" s="561"/>
      <c r="FQ30" s="561"/>
      <c r="FR30" s="561"/>
      <c r="FS30" s="561"/>
      <c r="FT30" s="561"/>
      <c r="FU30" s="561"/>
      <c r="FV30" s="561"/>
      <c r="FW30" s="561"/>
      <c r="FX30" s="561"/>
      <c r="FY30" s="561"/>
      <c r="FZ30" s="561"/>
      <c r="GA30" s="561"/>
      <c r="GB30" s="561"/>
      <c r="GC30" s="561"/>
      <c r="GD30" s="561"/>
      <c r="GE30" s="561"/>
      <c r="GF30" s="561"/>
      <c r="GG30" s="561"/>
      <c r="GH30" s="561"/>
      <c r="GI30" s="561"/>
      <c r="GJ30" s="561"/>
      <c r="GK30" s="561"/>
      <c r="GL30" s="561"/>
      <c r="GM30" s="561"/>
      <c r="GN30" s="561"/>
      <c r="GO30" s="561"/>
      <c r="GP30" s="561"/>
      <c r="GQ30" s="561"/>
      <c r="GR30" s="561"/>
      <c r="GS30" s="561"/>
      <c r="GT30" s="561"/>
      <c r="GU30" s="561"/>
      <c r="GV30" s="561"/>
      <c r="GW30" s="561"/>
      <c r="GX30" s="561"/>
      <c r="GY30" s="561"/>
      <c r="GZ30" s="561"/>
      <c r="HA30" s="561"/>
      <c r="HB30" s="561"/>
      <c r="HC30" s="561"/>
      <c r="HD30" s="561"/>
      <c r="HE30" s="561"/>
      <c r="HF30" s="561"/>
      <c r="HG30" s="561"/>
      <c r="HH30" s="561"/>
      <c r="HI30" s="561"/>
      <c r="HJ30" s="561"/>
      <c r="HK30" s="561"/>
      <c r="HL30" s="561"/>
      <c r="HM30" s="561"/>
      <c r="HN30" s="561"/>
      <c r="HO30" s="561"/>
      <c r="HP30" s="561"/>
      <c r="HQ30" s="561"/>
      <c r="HR30" s="561"/>
      <c r="HS30" s="561"/>
      <c r="HT30" s="561"/>
      <c r="HU30" s="561"/>
      <c r="HV30" s="561"/>
      <c r="HW30" s="561"/>
      <c r="HX30" s="561"/>
      <c r="HY30" s="561"/>
      <c r="HZ30" s="561"/>
      <c r="IA30" s="561"/>
      <c r="IB30" s="561"/>
      <c r="IC30" s="561"/>
      <c r="ID30" s="561"/>
      <c r="IE30" s="561"/>
      <c r="IF30" s="561"/>
      <c r="IG30" s="561"/>
      <c r="IH30" s="561"/>
      <c r="II30" s="561"/>
      <c r="IJ30" s="561"/>
      <c r="IK30" s="561"/>
      <c r="IL30" s="561"/>
      <c r="IM30" s="561"/>
      <c r="IN30" s="561"/>
      <c r="IO30" s="561"/>
      <c r="IP30" s="561"/>
      <c r="IQ30" s="561"/>
      <c r="IR30" s="561"/>
      <c r="IS30" s="561"/>
      <c r="IT30" s="561"/>
      <c r="IU30" s="561"/>
      <c r="IV30" s="561"/>
      <c r="IW30" s="561"/>
      <c r="IX30" s="561"/>
      <c r="IY30" s="561"/>
      <c r="IZ30" s="561"/>
      <c r="JA30" s="561"/>
      <c r="JB30" s="561"/>
      <c r="JC30" s="561"/>
      <c r="JD30" s="561"/>
      <c r="JE30" s="561"/>
      <c r="JF30" s="561"/>
      <c r="JG30" s="561"/>
      <c r="JH30" s="561"/>
      <c r="JI30" s="561"/>
      <c r="JJ30" s="561"/>
      <c r="JK30" s="561"/>
      <c r="JL30" s="561"/>
      <c r="JM30" s="561"/>
      <c r="JN30" s="561"/>
      <c r="JO30" s="561"/>
      <c r="JP30" s="561"/>
      <c r="JQ30" s="561"/>
      <c r="JR30" s="561"/>
      <c r="JS30" s="561"/>
      <c r="JT30" s="561"/>
      <c r="JU30" s="561"/>
      <c r="JV30" s="561"/>
      <c r="JW30" s="561"/>
      <c r="JX30" s="561"/>
      <c r="JY30" s="561"/>
      <c r="JZ30" s="561"/>
      <c r="KA30" s="561"/>
      <c r="KB30" s="561"/>
      <c r="KC30" s="561"/>
      <c r="KD30" s="561"/>
      <c r="KE30" s="561"/>
      <c r="KF30" s="561"/>
      <c r="KG30" s="561"/>
      <c r="KH30" s="561"/>
      <c r="KI30" s="561"/>
      <c r="KJ30" s="561"/>
      <c r="KK30" s="561"/>
      <c r="KL30" s="561"/>
      <c r="KM30" s="561"/>
      <c r="KN30" s="561"/>
      <c r="KO30" s="561"/>
      <c r="KP30" s="561"/>
      <c r="KQ30" s="561"/>
      <c r="KR30" s="561"/>
      <c r="KS30" s="561"/>
      <c r="KT30" s="561"/>
      <c r="KU30" s="561"/>
      <c r="KV30" s="561"/>
      <c r="KW30" s="561"/>
      <c r="KX30" s="561"/>
      <c r="KY30" s="561"/>
      <c r="KZ30" s="561"/>
      <c r="LA30" s="561"/>
      <c r="LB30" s="561"/>
      <c r="LC30" s="561"/>
      <c r="LD30" s="561"/>
      <c r="LE30" s="561"/>
      <c r="LF30" s="561"/>
      <c r="LG30" s="561"/>
      <c r="LH30" s="561"/>
      <c r="LI30" s="561"/>
      <c r="LJ30" s="561"/>
      <c r="LK30" s="561"/>
      <c r="LL30" s="561"/>
      <c r="LM30" s="561"/>
      <c r="LN30" s="561"/>
      <c r="LO30" s="561"/>
      <c r="LP30" s="561"/>
      <c r="LQ30" s="561"/>
      <c r="LR30" s="561"/>
      <c r="LS30" s="561"/>
      <c r="LT30" s="561"/>
      <c r="LU30" s="561"/>
      <c r="LV30" s="561"/>
      <c r="LW30" s="561"/>
      <c r="LX30" s="561"/>
      <c r="LY30" s="561"/>
      <c r="LZ30" s="561"/>
      <c r="MA30" s="561"/>
      <c r="MB30" s="561"/>
      <c r="MC30" s="561"/>
      <c r="MD30" s="561"/>
      <c r="ME30" s="561"/>
      <c r="MF30" s="561"/>
      <c r="MG30" s="561"/>
      <c r="MH30" s="561"/>
      <c r="MI30" s="561"/>
      <c r="MJ30" s="561"/>
      <c r="MK30" s="561"/>
      <c r="ML30" s="561"/>
      <c r="MM30" s="561"/>
      <c r="MN30" s="561"/>
      <c r="MO30" s="561"/>
      <c r="MP30" s="561"/>
      <c r="MQ30" s="561"/>
      <c r="MR30" s="561"/>
      <c r="MS30" s="561"/>
      <c r="MT30" s="561"/>
      <c r="MU30" s="561"/>
      <c r="MV30" s="561"/>
      <c r="MW30" s="561"/>
      <c r="MX30" s="561"/>
      <c r="MY30" s="561"/>
      <c r="MZ30" s="561"/>
      <c r="NA30" s="561"/>
      <c r="NB30" s="561"/>
      <c r="NC30" s="561"/>
      <c r="ND30" s="561"/>
      <c r="NE30" s="561"/>
      <c r="NF30" s="561"/>
      <c r="NG30" s="561"/>
      <c r="NH30" s="561"/>
      <c r="NI30" s="561"/>
      <c r="NJ30" s="561"/>
      <c r="NK30" s="561"/>
      <c r="NL30" s="561"/>
      <c r="NM30" s="561"/>
      <c r="NN30" s="561"/>
      <c r="NO30" s="561"/>
      <c r="NP30" s="561"/>
      <c r="NQ30" s="561"/>
      <c r="NR30" s="561"/>
      <c r="NS30" s="561"/>
      <c r="NT30" s="561"/>
      <c r="NU30" s="561"/>
      <c r="NV30" s="561"/>
      <c r="NW30" s="561"/>
      <c r="NX30" s="561"/>
      <c r="NY30" s="561"/>
      <c r="NZ30" s="561"/>
      <c r="OA30" s="561"/>
      <c r="OB30" s="561"/>
      <c r="OC30" s="561"/>
      <c r="OD30" s="561"/>
      <c r="OE30" s="561"/>
      <c r="OF30" s="561"/>
      <c r="OG30" s="561"/>
      <c r="OH30" s="561"/>
      <c r="OI30" s="561"/>
      <c r="OJ30" s="561"/>
      <c r="OK30" s="561"/>
      <c r="OL30" s="561"/>
      <c r="OM30" s="561"/>
      <c r="ON30" s="561"/>
      <c r="OO30" s="561"/>
      <c r="OP30" s="561"/>
      <c r="OQ30" s="561"/>
      <c r="OR30" s="561"/>
      <c r="OS30" s="561"/>
      <c r="OT30" s="561"/>
      <c r="OU30" s="561"/>
      <c r="OV30" s="561"/>
      <c r="OW30" s="561"/>
      <c r="OX30" s="561"/>
      <c r="OY30" s="561"/>
      <c r="OZ30" s="561"/>
      <c r="PA30" s="561"/>
      <c r="PB30" s="561"/>
      <c r="PC30" s="561"/>
      <c r="PD30" s="561"/>
      <c r="PE30" s="561"/>
      <c r="PF30" s="561"/>
      <c r="PG30" s="561"/>
      <c r="PH30" s="561"/>
      <c r="PI30" s="561"/>
      <c r="PJ30" s="561"/>
      <c r="PK30" s="561"/>
      <c r="PL30" s="561"/>
      <c r="PM30" s="561"/>
      <c r="PN30" s="561"/>
      <c r="PO30" s="561"/>
      <c r="PP30" s="561"/>
      <c r="PQ30" s="561"/>
      <c r="PR30" s="561"/>
      <c r="PS30" s="561"/>
      <c r="PT30" s="561"/>
      <c r="PU30" s="561"/>
      <c r="PV30" s="561"/>
      <c r="PW30" s="561"/>
      <c r="PX30" s="561"/>
      <c r="PY30" s="561"/>
      <c r="PZ30" s="561"/>
      <c r="QA30" s="561"/>
      <c r="QB30" s="561"/>
      <c r="QC30" s="561"/>
      <c r="QD30" s="561"/>
      <c r="QE30" s="561"/>
      <c r="QF30" s="561"/>
      <c r="QG30" s="561"/>
      <c r="QH30" s="561"/>
      <c r="QI30" s="561"/>
      <c r="QJ30" s="561"/>
      <c r="QK30" s="561"/>
      <c r="QL30" s="561"/>
      <c r="QM30" s="561"/>
      <c r="QN30" s="561"/>
      <c r="QO30" s="561"/>
      <c r="QP30" s="561"/>
      <c r="QQ30" s="561"/>
      <c r="QR30" s="561"/>
      <c r="QS30" s="561"/>
      <c r="QT30" s="561"/>
      <c r="QU30" s="561"/>
      <c r="QV30" s="561"/>
      <c r="QW30" s="561"/>
      <c r="QX30" s="561"/>
      <c r="QY30" s="561"/>
      <c r="QZ30" s="561"/>
      <c r="RA30" s="561"/>
      <c r="RB30" s="561"/>
      <c r="RC30" s="561"/>
      <c r="RD30" s="561"/>
      <c r="RE30" s="561"/>
      <c r="RF30" s="561"/>
      <c r="RG30" s="561"/>
      <c r="RH30" s="561"/>
      <c r="RI30" s="561"/>
      <c r="RJ30" s="561"/>
      <c r="RK30" s="561"/>
      <c r="RL30" s="561"/>
      <c r="RM30" s="561"/>
      <c r="RN30" s="561"/>
      <c r="RO30" s="561"/>
      <c r="RP30" s="561"/>
      <c r="RQ30" s="561"/>
      <c r="RR30" s="561"/>
      <c r="RS30" s="561"/>
      <c r="RT30" s="561"/>
      <c r="RU30" s="561"/>
      <c r="RV30" s="561"/>
      <c r="RW30" s="561"/>
      <c r="RX30" s="561"/>
      <c r="RY30" s="561"/>
      <c r="RZ30" s="561"/>
      <c r="SA30" s="561"/>
      <c r="SB30" s="561"/>
      <c r="SC30" s="561"/>
      <c r="SD30" s="561"/>
      <c r="SE30" s="561"/>
      <c r="SF30" s="561"/>
      <c r="SG30" s="561"/>
      <c r="SH30" s="561"/>
      <c r="SI30" s="561"/>
      <c r="SJ30" s="561"/>
      <c r="SK30" s="561"/>
      <c r="SL30" s="561"/>
      <c r="SM30" s="561"/>
      <c r="SN30" s="561"/>
      <c r="SO30" s="561"/>
      <c r="SP30" s="561"/>
      <c r="SQ30" s="561"/>
      <c r="SR30" s="561"/>
      <c r="SS30" s="561"/>
      <c r="ST30" s="561"/>
      <c r="SU30" s="561"/>
      <c r="SV30" s="561"/>
      <c r="SW30" s="561"/>
      <c r="SX30" s="561"/>
      <c r="SY30" s="561"/>
      <c r="SZ30" s="561"/>
      <c r="TA30" s="561"/>
      <c r="TB30" s="561"/>
      <c r="TC30" s="561"/>
      <c r="TD30" s="561"/>
      <c r="TE30" s="561"/>
      <c r="TF30" s="561"/>
      <c r="TG30" s="561"/>
      <c r="TH30" s="561"/>
      <c r="TI30" s="561"/>
      <c r="TJ30" s="561"/>
      <c r="TK30" s="561"/>
      <c r="TL30" s="561"/>
      <c r="TM30" s="561"/>
      <c r="TN30" s="561"/>
      <c r="TO30" s="561"/>
      <c r="TP30" s="561"/>
      <c r="TQ30" s="561"/>
      <c r="TR30" s="561"/>
      <c r="TS30" s="561"/>
      <c r="TT30" s="561"/>
      <c r="TU30" s="561"/>
      <c r="TV30" s="561"/>
      <c r="TW30" s="561"/>
      <c r="TX30" s="561"/>
      <c r="TY30" s="561"/>
      <c r="TZ30" s="561"/>
      <c r="UA30" s="561"/>
      <c r="UB30" s="561"/>
      <c r="UC30" s="561"/>
      <c r="UD30" s="561"/>
      <c r="UE30" s="561"/>
      <c r="UF30" s="561"/>
      <c r="UG30" s="561"/>
      <c r="UH30" s="561"/>
      <c r="UI30" s="561"/>
      <c r="UJ30" s="561"/>
      <c r="UK30" s="561"/>
      <c r="UL30" s="561"/>
      <c r="UM30" s="561"/>
      <c r="UN30" s="561"/>
      <c r="UO30" s="561"/>
      <c r="UP30" s="561"/>
      <c r="UQ30" s="561"/>
      <c r="UR30" s="561"/>
      <c r="US30" s="561"/>
      <c r="UT30" s="561"/>
      <c r="UU30" s="561"/>
      <c r="UV30" s="561"/>
      <c r="UW30" s="561"/>
      <c r="UX30" s="561"/>
      <c r="UY30" s="561"/>
      <c r="UZ30" s="561"/>
      <c r="VA30" s="561"/>
      <c r="VB30" s="561"/>
      <c r="VC30" s="561"/>
      <c r="VD30" s="561"/>
      <c r="VE30" s="561"/>
      <c r="VF30" s="561"/>
      <c r="VG30" s="561"/>
      <c r="VH30" s="561"/>
      <c r="VI30" s="561"/>
      <c r="VJ30" s="561"/>
      <c r="VK30" s="561"/>
      <c r="VL30" s="561"/>
      <c r="VM30" s="561"/>
      <c r="VN30" s="561"/>
      <c r="VO30" s="561"/>
      <c r="VP30" s="561"/>
      <c r="VQ30" s="561"/>
      <c r="VR30" s="561"/>
      <c r="VS30" s="561"/>
      <c r="VT30" s="561"/>
      <c r="VU30" s="561"/>
      <c r="VV30" s="561"/>
      <c r="VW30" s="561"/>
      <c r="VX30" s="561"/>
      <c r="VY30" s="561"/>
      <c r="VZ30" s="561"/>
      <c r="WA30" s="561"/>
      <c r="WB30" s="561"/>
      <c r="WC30" s="561"/>
      <c r="WD30" s="561"/>
      <c r="WE30" s="561"/>
      <c r="WF30" s="561"/>
      <c r="WG30" s="561"/>
      <c r="WH30" s="561"/>
      <c r="WI30" s="561"/>
      <c r="WJ30" s="561"/>
      <c r="WK30" s="561"/>
      <c r="WL30" s="561"/>
      <c r="WM30" s="561"/>
      <c r="WN30" s="561"/>
      <c r="WO30" s="561"/>
      <c r="WP30" s="561"/>
      <c r="WQ30" s="561"/>
      <c r="WR30" s="561"/>
      <c r="WS30" s="561"/>
      <c r="WT30" s="561"/>
      <c r="WU30" s="561"/>
      <c r="WV30" s="561"/>
      <c r="WW30" s="561"/>
      <c r="WX30" s="561"/>
      <c r="WY30" s="561"/>
      <c r="WZ30" s="561"/>
      <c r="XA30" s="561"/>
      <c r="XB30" s="561"/>
      <c r="XC30" s="561"/>
      <c r="XD30" s="561"/>
      <c r="XE30" s="561"/>
      <c r="XF30" s="561"/>
      <c r="XG30" s="561"/>
      <c r="XH30" s="561"/>
      <c r="XI30" s="561"/>
      <c r="XJ30" s="561"/>
      <c r="XK30" s="561"/>
      <c r="XL30" s="561"/>
      <c r="XM30" s="561"/>
      <c r="XN30" s="561"/>
      <c r="XO30" s="561"/>
      <c r="XP30" s="561"/>
      <c r="XQ30" s="561"/>
      <c r="XR30" s="561"/>
      <c r="XS30" s="561"/>
      <c r="XT30" s="561"/>
      <c r="XU30" s="561"/>
      <c r="XV30" s="561"/>
      <c r="XW30" s="561"/>
      <c r="XX30" s="561"/>
      <c r="XY30" s="561"/>
      <c r="XZ30" s="561"/>
      <c r="YA30" s="561"/>
      <c r="YB30" s="561"/>
      <c r="YC30" s="561"/>
      <c r="YD30" s="561"/>
      <c r="YE30" s="561"/>
      <c r="YF30" s="561"/>
      <c r="YG30" s="561"/>
      <c r="YH30" s="561"/>
      <c r="YI30" s="561"/>
      <c r="YJ30" s="561"/>
      <c r="YK30" s="561"/>
      <c r="YL30" s="561"/>
      <c r="YM30" s="561"/>
      <c r="YN30" s="561"/>
      <c r="YO30" s="561"/>
      <c r="YP30" s="561"/>
      <c r="YQ30" s="561"/>
      <c r="YR30" s="561"/>
      <c r="YS30" s="561"/>
      <c r="YT30" s="561"/>
      <c r="YU30" s="561"/>
      <c r="YV30" s="561"/>
      <c r="YW30" s="561"/>
      <c r="YX30" s="561"/>
      <c r="YY30" s="561"/>
      <c r="YZ30" s="561"/>
      <c r="ZA30" s="561"/>
      <c r="ZB30" s="561"/>
      <c r="ZC30" s="561"/>
      <c r="ZD30" s="561"/>
      <c r="ZE30" s="561"/>
      <c r="ZF30" s="561"/>
      <c r="ZG30" s="561"/>
      <c r="ZH30" s="561"/>
      <c r="ZI30" s="561"/>
      <c r="ZJ30" s="561"/>
      <c r="ZK30" s="561"/>
      <c r="ZL30" s="561"/>
      <c r="ZM30" s="561"/>
      <c r="ZN30" s="561"/>
      <c r="ZO30" s="561"/>
      <c r="ZP30" s="561"/>
      <c r="ZQ30" s="561"/>
      <c r="ZR30" s="561"/>
      <c r="ZS30" s="561"/>
      <c r="ZT30" s="561"/>
      <c r="ZU30" s="561"/>
      <c r="ZV30" s="561"/>
      <c r="ZW30" s="561"/>
      <c r="ZX30" s="561"/>
      <c r="ZY30" s="561"/>
      <c r="ZZ30" s="561"/>
      <c r="AAA30" s="561"/>
      <c r="AAB30" s="561"/>
      <c r="AAC30" s="561"/>
      <c r="AAD30" s="561"/>
      <c r="AAE30" s="561"/>
      <c r="AAF30" s="561"/>
      <c r="AAG30" s="561"/>
      <c r="AAH30" s="561"/>
      <c r="AAI30" s="561"/>
      <c r="AAJ30" s="561"/>
      <c r="AAK30" s="561"/>
      <c r="AAL30" s="561"/>
      <c r="AAM30" s="561"/>
      <c r="AAN30" s="561"/>
      <c r="AAO30" s="561"/>
      <c r="AAP30" s="561"/>
      <c r="AAQ30" s="561"/>
      <c r="AAR30" s="561"/>
      <c r="AAS30" s="561"/>
      <c r="AAT30" s="561"/>
      <c r="AAU30" s="561"/>
      <c r="AAV30" s="561"/>
      <c r="AAW30" s="561"/>
      <c r="AAX30" s="561"/>
      <c r="AAY30" s="561"/>
      <c r="AAZ30" s="561"/>
      <c r="ABA30" s="561"/>
      <c r="ABB30" s="561"/>
      <c r="ABC30" s="561"/>
      <c r="ABD30" s="561"/>
      <c r="ABE30" s="561"/>
      <c r="ABF30" s="561"/>
      <c r="ABG30" s="561"/>
      <c r="ABH30" s="561"/>
      <c r="ABI30" s="561"/>
      <c r="ABJ30" s="561"/>
      <c r="ABK30" s="561"/>
      <c r="ABL30" s="561"/>
      <c r="ABM30" s="561"/>
      <c r="ABN30" s="561"/>
      <c r="ABO30" s="561"/>
      <c r="ABP30" s="561"/>
      <c r="ABQ30" s="561"/>
      <c r="ABR30" s="561"/>
      <c r="ABS30" s="561"/>
      <c r="ABT30" s="561"/>
      <c r="ABU30" s="561"/>
      <c r="ABV30" s="561"/>
      <c r="ABW30" s="561"/>
      <c r="ABX30" s="561"/>
      <c r="ABY30" s="561"/>
      <c r="ABZ30" s="561"/>
      <c r="ACA30" s="561"/>
      <c r="ACB30" s="561"/>
      <c r="ACC30" s="561"/>
      <c r="ACD30" s="561"/>
      <c r="ACE30" s="561"/>
      <c r="ACF30" s="561"/>
      <c r="ACG30" s="561"/>
      <c r="ACH30" s="561"/>
      <c r="ACI30" s="561"/>
      <c r="ACJ30" s="561"/>
      <c r="ACK30" s="561"/>
      <c r="ACL30" s="561"/>
      <c r="ACM30" s="561"/>
      <c r="ACN30" s="561"/>
      <c r="ACO30" s="561"/>
      <c r="ACP30" s="561"/>
      <c r="ACQ30" s="561"/>
      <c r="ACR30" s="561"/>
      <c r="ACS30" s="561"/>
      <c r="ACT30" s="561"/>
      <c r="ACU30" s="561"/>
      <c r="ACV30" s="561"/>
      <c r="ACW30" s="561"/>
      <c r="ACX30" s="561"/>
      <c r="ACY30" s="561"/>
      <c r="ACZ30" s="561"/>
      <c r="ADA30" s="561"/>
      <c r="ADB30" s="561"/>
      <c r="ADC30" s="561"/>
      <c r="ADD30" s="561"/>
      <c r="ADE30" s="561"/>
      <c r="ADF30" s="561"/>
      <c r="ADG30" s="561"/>
      <c r="ADH30" s="561"/>
      <c r="ADI30" s="561"/>
      <c r="ADJ30" s="561"/>
      <c r="ADK30" s="561"/>
      <c r="ADL30" s="561"/>
      <c r="ADM30" s="561"/>
      <c r="ADN30" s="561"/>
      <c r="ADO30" s="561"/>
      <c r="ADP30" s="561"/>
      <c r="ADQ30" s="561"/>
      <c r="ADR30" s="561"/>
      <c r="ADS30" s="561"/>
      <c r="ADT30" s="561"/>
      <c r="ADU30" s="561"/>
      <c r="ADV30" s="561"/>
      <c r="ADW30" s="561"/>
      <c r="ADX30" s="561"/>
      <c r="ADY30" s="561"/>
      <c r="ADZ30" s="561"/>
      <c r="AEA30" s="561"/>
      <c r="AEB30" s="561"/>
      <c r="AEC30" s="561"/>
      <c r="AED30" s="561"/>
      <c r="AEE30" s="561"/>
      <c r="AEF30" s="561"/>
      <c r="AEG30" s="561"/>
      <c r="AEH30" s="561"/>
      <c r="AEI30" s="561"/>
      <c r="AEJ30" s="561"/>
      <c r="AEK30" s="561"/>
      <c r="AEL30" s="561"/>
      <c r="AEM30" s="561"/>
      <c r="AEN30" s="561"/>
      <c r="AEO30" s="561"/>
      <c r="AEP30" s="561"/>
      <c r="AEQ30" s="561"/>
      <c r="AER30" s="561"/>
      <c r="AES30" s="561"/>
      <c r="AET30" s="561"/>
      <c r="AEU30" s="561"/>
      <c r="AEV30" s="561"/>
      <c r="AEW30" s="561"/>
      <c r="AEX30" s="561"/>
      <c r="AEY30" s="561"/>
      <c r="AEZ30" s="561"/>
      <c r="AFA30" s="561"/>
      <c r="AFB30" s="561"/>
      <c r="AFC30" s="561"/>
      <c r="AFD30" s="561"/>
      <c r="AFE30" s="561"/>
      <c r="AFF30" s="561"/>
      <c r="AFG30" s="561"/>
      <c r="AFH30" s="561"/>
      <c r="AFI30" s="561"/>
      <c r="AFJ30" s="561"/>
      <c r="AFK30" s="561"/>
      <c r="AFL30" s="561"/>
      <c r="AFM30" s="561"/>
      <c r="AFN30" s="561"/>
      <c r="AFO30" s="561"/>
      <c r="AFP30" s="561"/>
      <c r="AFQ30" s="561"/>
      <c r="AFR30" s="561"/>
      <c r="AFS30" s="561"/>
      <c r="AFT30" s="561"/>
      <c r="AFU30" s="561"/>
      <c r="AFV30" s="561"/>
      <c r="AFW30" s="561"/>
      <c r="AFX30" s="561"/>
      <c r="AFY30" s="561"/>
      <c r="AFZ30" s="561"/>
      <c r="AGA30" s="561"/>
      <c r="AGB30" s="561"/>
      <c r="AGC30" s="561"/>
      <c r="AGD30" s="561"/>
      <c r="AGE30" s="561"/>
      <c r="AGF30" s="561"/>
      <c r="AGG30" s="561"/>
      <c r="AGH30" s="561"/>
      <c r="AGI30" s="561"/>
      <c r="AGJ30" s="561"/>
      <c r="AGK30" s="561"/>
      <c r="AGL30" s="561"/>
      <c r="AGM30" s="561"/>
      <c r="AGN30" s="561"/>
      <c r="AGO30" s="561"/>
      <c r="AGP30" s="561"/>
      <c r="AGQ30" s="561"/>
      <c r="AGR30" s="561"/>
      <c r="AGS30" s="561"/>
      <c r="AGT30" s="561"/>
      <c r="AGU30" s="561"/>
      <c r="AGV30" s="561"/>
      <c r="AGW30" s="561"/>
      <c r="AGX30" s="561"/>
      <c r="AGY30" s="561"/>
      <c r="AGZ30" s="561"/>
      <c r="AHA30" s="561"/>
      <c r="AHB30" s="561"/>
      <c r="AHC30" s="561"/>
      <c r="AHD30" s="561"/>
      <c r="AHE30" s="561"/>
      <c r="AHF30" s="561"/>
      <c r="AHG30" s="561"/>
      <c r="AHH30" s="561"/>
      <c r="AHI30" s="561"/>
      <c r="AHJ30" s="561"/>
      <c r="AHK30" s="561"/>
      <c r="AHL30" s="561"/>
      <c r="AHM30" s="561"/>
      <c r="AHN30" s="561"/>
      <c r="AHO30" s="561"/>
      <c r="AHP30" s="561"/>
      <c r="AHQ30" s="561"/>
      <c r="AHR30" s="561"/>
      <c r="AHS30" s="561"/>
      <c r="AHT30" s="561"/>
      <c r="AHU30" s="561"/>
      <c r="AHV30" s="561"/>
      <c r="AHW30" s="561"/>
      <c r="AHX30" s="561"/>
      <c r="AHY30" s="561"/>
      <c r="AHZ30" s="561"/>
      <c r="AIA30" s="561"/>
      <c r="AIB30" s="561"/>
      <c r="AIC30" s="561"/>
      <c r="AID30" s="561"/>
      <c r="AIE30" s="561"/>
      <c r="AIF30" s="561"/>
      <c r="AIG30" s="561"/>
      <c r="AIH30" s="561"/>
      <c r="AII30" s="561"/>
      <c r="AIJ30" s="561"/>
      <c r="AIK30" s="561"/>
      <c r="AIL30" s="561"/>
      <c r="AIM30" s="561"/>
      <c r="AIN30" s="561"/>
      <c r="AIO30" s="561"/>
      <c r="AIP30" s="561"/>
      <c r="AIQ30" s="561"/>
      <c r="AIR30" s="561"/>
      <c r="AIS30" s="561"/>
      <c r="AIT30" s="561"/>
      <c r="AIU30" s="561"/>
      <c r="AIV30" s="561"/>
      <c r="AIW30" s="561"/>
      <c r="AIX30" s="561"/>
      <c r="AIY30" s="561"/>
      <c r="AIZ30" s="561"/>
      <c r="AJA30" s="561"/>
      <c r="AJB30" s="561"/>
      <c r="AJC30" s="561"/>
      <c r="AJD30" s="561"/>
      <c r="AJE30" s="561"/>
      <c r="AJF30" s="561"/>
      <c r="AJG30" s="561"/>
      <c r="AJH30" s="561"/>
      <c r="AJI30" s="561"/>
      <c r="AJJ30" s="561"/>
      <c r="AJK30" s="561"/>
      <c r="AJL30" s="561"/>
      <c r="AJM30" s="561"/>
      <c r="AJN30" s="561"/>
      <c r="AJO30" s="561"/>
      <c r="AJP30" s="561"/>
      <c r="AJQ30" s="561"/>
      <c r="AJR30" s="561"/>
      <c r="AJS30" s="561"/>
      <c r="AJT30" s="561"/>
      <c r="AJU30" s="561"/>
      <c r="AJV30" s="561"/>
      <c r="AJW30" s="561"/>
      <c r="AJX30" s="561"/>
      <c r="AJY30" s="561"/>
      <c r="AJZ30" s="561"/>
      <c r="AKA30" s="561"/>
      <c r="AKB30" s="561"/>
      <c r="AKC30" s="561"/>
      <c r="AKD30" s="561"/>
      <c r="AKE30" s="561"/>
      <c r="AKF30" s="561"/>
      <c r="AKG30" s="561"/>
      <c r="AKH30" s="561"/>
      <c r="AKI30" s="561"/>
      <c r="AKJ30" s="561"/>
      <c r="AKK30" s="561"/>
      <c r="AKL30" s="561"/>
      <c r="AKM30" s="561"/>
      <c r="AKN30" s="561"/>
      <c r="AKO30" s="561"/>
      <c r="AKP30" s="561"/>
      <c r="AKQ30" s="561"/>
      <c r="AKR30" s="561"/>
      <c r="AKS30" s="561"/>
      <c r="AKT30" s="561"/>
      <c r="AKU30" s="561"/>
      <c r="AKV30" s="561"/>
      <c r="AKW30" s="561"/>
      <c r="AKX30" s="561"/>
      <c r="AKY30" s="561"/>
      <c r="AKZ30" s="561"/>
      <c r="ALA30" s="561"/>
      <c r="ALB30" s="561"/>
      <c r="ALC30" s="561"/>
      <c r="ALD30" s="561"/>
      <c r="ALE30" s="561"/>
      <c r="ALF30" s="561"/>
      <c r="ALG30" s="561"/>
      <c r="ALH30" s="561"/>
      <c r="ALI30" s="561"/>
      <c r="ALJ30" s="561"/>
      <c r="ALK30" s="561"/>
      <c r="ALL30" s="561"/>
      <c r="ALM30" s="561"/>
      <c r="ALN30" s="561"/>
      <c r="ALO30" s="561"/>
      <c r="ALP30" s="561"/>
      <c r="ALQ30" s="561"/>
      <c r="ALR30" s="561"/>
      <c r="ALS30" s="561"/>
      <c r="ALT30" s="561"/>
      <c r="ALU30" s="561"/>
      <c r="ALV30" s="561"/>
      <c r="ALW30" s="561"/>
      <c r="ALX30" s="561"/>
      <c r="ALY30" s="561"/>
      <c r="ALZ30" s="561"/>
      <c r="AMA30" s="561"/>
      <c r="AMB30" s="561"/>
      <c r="AMC30" s="561"/>
      <c r="AMD30" s="561"/>
      <c r="AME30" s="561"/>
      <c r="AMF30" s="561"/>
      <c r="AMG30" s="561"/>
      <c r="AMH30" s="561"/>
      <c r="AMI30" s="561"/>
      <c r="AMJ30" s="561"/>
      <c r="AMK30" s="561"/>
      <c r="AML30" s="561"/>
      <c r="AMM30" s="561"/>
      <c r="AMN30" s="561"/>
      <c r="AMO30" s="561"/>
      <c r="AMP30" s="561"/>
      <c r="AMQ30" s="561"/>
      <c r="AMR30" s="561"/>
      <c r="AMS30" s="561"/>
      <c r="AMT30" s="561"/>
      <c r="AMU30" s="561"/>
      <c r="AMV30" s="561"/>
      <c r="AMW30" s="561"/>
      <c r="AMX30" s="561"/>
      <c r="AMY30" s="561"/>
      <c r="AMZ30" s="561"/>
      <c r="ANA30" s="561"/>
      <c r="ANB30" s="561"/>
      <c r="ANC30" s="561"/>
      <c r="AND30" s="561"/>
      <c r="ANE30" s="561"/>
      <c r="ANF30" s="561"/>
      <c r="ANG30" s="561"/>
      <c r="ANH30" s="561"/>
      <c r="ANI30" s="561"/>
      <c r="ANJ30" s="561"/>
      <c r="ANK30" s="561"/>
      <c r="ANL30" s="561"/>
      <c r="ANM30" s="561"/>
      <c r="ANN30" s="561"/>
      <c r="ANO30" s="561"/>
      <c r="ANP30" s="561"/>
      <c r="ANQ30" s="561"/>
      <c r="ANR30" s="561"/>
      <c r="ANS30" s="561"/>
      <c r="ANT30" s="561"/>
      <c r="ANU30" s="561"/>
      <c r="ANV30" s="561"/>
      <c r="ANW30" s="561"/>
      <c r="ANX30" s="561"/>
      <c r="ANY30" s="561"/>
      <c r="ANZ30" s="561"/>
      <c r="AOA30" s="561"/>
      <c r="AOB30" s="561"/>
      <c r="AOC30" s="561"/>
      <c r="AOD30" s="561"/>
      <c r="AOE30" s="561"/>
      <c r="AOF30" s="561"/>
      <c r="AOG30" s="561"/>
      <c r="AOH30" s="561"/>
      <c r="AOI30" s="561"/>
      <c r="AOJ30" s="561"/>
      <c r="AOK30" s="561"/>
      <c r="AOL30" s="561"/>
      <c r="AOM30" s="561"/>
      <c r="AON30" s="561"/>
      <c r="AOO30" s="561"/>
      <c r="AOP30" s="561"/>
      <c r="AOQ30" s="561"/>
      <c r="AOR30" s="561"/>
      <c r="AOS30" s="561"/>
      <c r="AOT30" s="561"/>
      <c r="AOU30" s="561"/>
      <c r="AOV30" s="561"/>
      <c r="AOW30" s="561"/>
      <c r="AOX30" s="561"/>
      <c r="AOY30" s="561"/>
      <c r="AOZ30" s="561"/>
      <c r="APA30" s="561"/>
      <c r="APB30" s="561"/>
      <c r="APC30" s="561"/>
      <c r="APD30" s="561"/>
      <c r="APE30" s="561"/>
      <c r="APF30" s="561"/>
      <c r="APG30" s="561"/>
      <c r="APH30" s="561"/>
      <c r="API30" s="561"/>
      <c r="APJ30" s="561"/>
      <c r="APK30" s="561"/>
      <c r="APL30" s="561"/>
      <c r="APM30" s="561"/>
      <c r="APN30" s="561"/>
      <c r="APO30" s="561"/>
      <c r="APP30" s="561"/>
      <c r="APQ30" s="561"/>
      <c r="APR30" s="561"/>
      <c r="APS30" s="561"/>
      <c r="APT30" s="561"/>
      <c r="APU30" s="561"/>
      <c r="APV30" s="561"/>
      <c r="APW30" s="561"/>
      <c r="APX30" s="561"/>
      <c r="APY30" s="561"/>
      <c r="APZ30" s="561"/>
      <c r="AQA30" s="561"/>
      <c r="AQB30" s="561"/>
      <c r="AQC30" s="561"/>
      <c r="AQD30" s="561"/>
      <c r="AQE30" s="561"/>
      <c r="AQF30" s="561"/>
      <c r="AQG30" s="561"/>
      <c r="AQH30" s="561"/>
      <c r="AQI30" s="561"/>
      <c r="AQJ30" s="561"/>
      <c r="AQK30" s="561"/>
      <c r="AQL30" s="561"/>
      <c r="AQM30" s="561"/>
      <c r="AQN30" s="561"/>
      <c r="AQO30" s="561"/>
      <c r="AQP30" s="561"/>
      <c r="AQQ30" s="561"/>
      <c r="AQR30" s="561"/>
      <c r="AQS30" s="561"/>
      <c r="AQT30" s="561"/>
      <c r="AQU30" s="561"/>
      <c r="AQV30" s="561"/>
      <c r="AQW30" s="561"/>
      <c r="AQX30" s="561"/>
      <c r="AQY30" s="561"/>
      <c r="AQZ30" s="561"/>
      <c r="ARA30" s="561"/>
      <c r="ARB30" s="561"/>
      <c r="ARC30" s="561"/>
      <c r="ARD30" s="561"/>
      <c r="ARE30" s="561"/>
      <c r="ARF30" s="561"/>
      <c r="ARG30" s="561"/>
      <c r="ARH30" s="561"/>
      <c r="ARI30" s="561"/>
      <c r="ARJ30" s="561"/>
      <c r="ARK30" s="561"/>
      <c r="ARL30" s="561"/>
      <c r="ARM30" s="561"/>
      <c r="ARN30" s="561"/>
      <c r="ARO30" s="561"/>
      <c r="ARP30" s="561"/>
      <c r="ARQ30" s="561"/>
      <c r="ARR30" s="561"/>
      <c r="ARS30" s="561"/>
      <c r="ART30" s="561"/>
      <c r="ARU30" s="561"/>
      <c r="ARV30" s="561"/>
      <c r="ARW30" s="561"/>
      <c r="ARX30" s="561"/>
      <c r="ARY30" s="561"/>
      <c r="ARZ30" s="561"/>
      <c r="ASA30" s="561"/>
      <c r="ASB30" s="561"/>
      <c r="ASC30" s="561"/>
      <c r="ASD30" s="561"/>
      <c r="ASE30" s="561"/>
      <c r="ASF30" s="561"/>
      <c r="ASG30" s="561"/>
      <c r="ASH30" s="561"/>
      <c r="ASI30" s="561"/>
      <c r="ASJ30" s="561"/>
      <c r="ASK30" s="561"/>
      <c r="ASL30" s="561"/>
      <c r="ASM30" s="561"/>
      <c r="ASN30" s="561"/>
      <c r="ASO30" s="561"/>
      <c r="ASP30" s="561"/>
      <c r="ASQ30" s="561"/>
      <c r="ASR30" s="561"/>
      <c r="ASS30" s="561"/>
      <c r="AST30" s="561"/>
      <c r="ASU30" s="561"/>
      <c r="ASV30" s="561"/>
      <c r="ASW30" s="561"/>
      <c r="ASX30" s="561"/>
      <c r="ASY30" s="561"/>
      <c r="ASZ30" s="561"/>
      <c r="ATA30" s="561"/>
      <c r="ATB30" s="561"/>
      <c r="ATC30" s="561"/>
      <c r="ATD30" s="561"/>
      <c r="ATE30" s="561"/>
      <c r="ATF30" s="561"/>
      <c r="ATG30" s="561"/>
      <c r="ATH30" s="561"/>
      <c r="ATI30" s="561"/>
      <c r="ATJ30" s="561"/>
      <c r="ATK30" s="561"/>
      <c r="ATL30" s="561"/>
      <c r="ATM30" s="561"/>
      <c r="ATN30" s="561"/>
      <c r="ATO30" s="561"/>
      <c r="ATP30" s="561"/>
      <c r="ATQ30" s="561"/>
      <c r="ATR30" s="561"/>
      <c r="ATS30" s="561"/>
      <c r="ATT30" s="561"/>
      <c r="ATU30" s="561"/>
      <c r="ATV30" s="561"/>
      <c r="ATW30" s="561"/>
      <c r="ATX30" s="561"/>
      <c r="ATY30" s="561"/>
      <c r="ATZ30" s="561"/>
      <c r="AUA30" s="561"/>
      <c r="AUB30" s="561"/>
      <c r="AUC30" s="561"/>
      <c r="AUD30" s="561"/>
      <c r="AUE30" s="561"/>
      <c r="AUF30" s="561"/>
      <c r="AUG30" s="561"/>
      <c r="AUH30" s="561"/>
      <c r="AUI30" s="561"/>
      <c r="AUJ30" s="561"/>
      <c r="AUK30" s="561"/>
      <c r="AUL30" s="561"/>
      <c r="AUM30" s="561"/>
      <c r="AUN30" s="561"/>
      <c r="AUO30" s="561"/>
      <c r="AUP30" s="561"/>
      <c r="AUQ30" s="561"/>
      <c r="AUR30" s="561"/>
      <c r="AUS30" s="561"/>
      <c r="AUT30" s="561"/>
      <c r="AUU30" s="561"/>
      <c r="AUV30" s="561"/>
      <c r="AUW30" s="561"/>
      <c r="AUX30" s="561"/>
      <c r="AUY30" s="561"/>
      <c r="AUZ30" s="561"/>
      <c r="AVA30" s="561"/>
      <c r="AVB30" s="561"/>
      <c r="AVC30" s="561"/>
      <c r="AVD30" s="561"/>
      <c r="AVE30" s="561"/>
      <c r="AVF30" s="561"/>
      <c r="AVG30" s="561"/>
      <c r="AVH30" s="561"/>
      <c r="AVI30" s="561"/>
      <c r="AVJ30" s="561"/>
      <c r="AVK30" s="561"/>
      <c r="AVL30" s="561"/>
      <c r="AVM30" s="561"/>
      <c r="AVN30" s="561"/>
      <c r="AVO30" s="561"/>
      <c r="AVP30" s="561"/>
      <c r="AVQ30" s="561"/>
      <c r="AVR30" s="561"/>
      <c r="AVS30" s="561"/>
      <c r="AVT30" s="561"/>
      <c r="AVU30" s="561"/>
      <c r="AVV30" s="561"/>
      <c r="AVW30" s="561"/>
      <c r="AVX30" s="561"/>
      <c r="AVY30" s="561"/>
      <c r="AVZ30" s="561"/>
      <c r="AWA30" s="561"/>
      <c r="AWB30" s="561"/>
      <c r="AWC30" s="561"/>
      <c r="AWD30" s="561"/>
      <c r="AWE30" s="561"/>
      <c r="AWF30" s="561"/>
      <c r="AWG30" s="561"/>
      <c r="AWH30" s="561"/>
      <c r="AWI30" s="561"/>
      <c r="AWJ30" s="561"/>
      <c r="AWK30" s="561"/>
      <c r="AWL30" s="561"/>
      <c r="AWM30" s="561"/>
      <c r="AWN30" s="561"/>
      <c r="AWO30" s="561"/>
      <c r="AWP30" s="561"/>
      <c r="AWQ30" s="561"/>
      <c r="AWR30" s="561"/>
      <c r="AWS30" s="561"/>
      <c r="AWT30" s="561"/>
      <c r="AWU30" s="561"/>
      <c r="AWV30" s="561"/>
      <c r="AWW30" s="561"/>
      <c r="AWX30" s="561"/>
      <c r="AWY30" s="561"/>
      <c r="AWZ30" s="561"/>
      <c r="AXA30" s="561"/>
      <c r="AXB30" s="561"/>
      <c r="AXC30" s="561"/>
      <c r="AXD30" s="561"/>
      <c r="AXE30" s="561"/>
      <c r="AXF30" s="561"/>
      <c r="AXG30" s="561"/>
      <c r="AXH30" s="561"/>
      <c r="AXI30" s="561"/>
      <c r="AXJ30" s="561"/>
      <c r="AXK30" s="561"/>
      <c r="AXL30" s="561"/>
      <c r="AXM30" s="561"/>
      <c r="AXN30" s="561"/>
      <c r="AXO30" s="561"/>
      <c r="AXP30" s="561"/>
      <c r="AXQ30" s="561"/>
      <c r="AXR30" s="561"/>
      <c r="AXS30" s="561"/>
      <c r="AXT30" s="561"/>
      <c r="AXU30" s="561"/>
      <c r="AXV30" s="561"/>
      <c r="AXW30" s="561"/>
      <c r="AXX30" s="561"/>
      <c r="AXY30" s="561"/>
      <c r="AXZ30" s="561"/>
      <c r="AYA30" s="561"/>
      <c r="AYB30" s="561"/>
      <c r="AYC30" s="561"/>
      <c r="AYD30" s="561"/>
      <c r="AYE30" s="561"/>
      <c r="AYF30" s="561"/>
      <c r="AYG30" s="561"/>
      <c r="AYH30" s="561"/>
      <c r="AYI30" s="561"/>
      <c r="AYJ30" s="561"/>
      <c r="AYK30" s="561"/>
      <c r="AYL30" s="561"/>
      <c r="AYM30" s="561"/>
      <c r="AYN30" s="561"/>
      <c r="AYO30" s="561"/>
      <c r="AYP30" s="561"/>
      <c r="AYQ30" s="561"/>
      <c r="AYR30" s="561"/>
      <c r="AYS30" s="561"/>
      <c r="AYT30" s="561"/>
      <c r="AYU30" s="561"/>
      <c r="AYV30" s="561"/>
      <c r="AYW30" s="561"/>
      <c r="AYX30" s="561"/>
      <c r="AYY30" s="561"/>
      <c r="AYZ30" s="561"/>
      <c r="AZA30" s="561"/>
      <c r="AZB30" s="561"/>
      <c r="AZC30" s="561"/>
      <c r="AZD30" s="561"/>
      <c r="AZE30" s="561"/>
      <c r="AZF30" s="561"/>
      <c r="AZG30" s="561"/>
      <c r="AZH30" s="561"/>
      <c r="AZI30" s="561"/>
      <c r="AZJ30" s="561"/>
      <c r="AZK30" s="561"/>
      <c r="AZL30" s="561"/>
      <c r="AZM30" s="561"/>
      <c r="AZN30" s="561"/>
      <c r="AZO30" s="561"/>
      <c r="AZP30" s="561"/>
      <c r="AZQ30" s="561"/>
      <c r="AZR30" s="561"/>
      <c r="AZS30" s="561"/>
      <c r="AZT30" s="561"/>
      <c r="AZU30" s="561"/>
      <c r="AZV30" s="561"/>
      <c r="AZW30" s="561"/>
      <c r="AZX30" s="561"/>
      <c r="AZY30" s="561"/>
      <c r="AZZ30" s="561"/>
      <c r="BAA30" s="561"/>
      <c r="BAB30" s="561"/>
      <c r="BAC30" s="561"/>
      <c r="BAD30" s="561"/>
      <c r="BAE30" s="561"/>
      <c r="BAF30" s="561"/>
      <c r="BAG30" s="561"/>
      <c r="BAH30" s="561"/>
      <c r="BAI30" s="561"/>
      <c r="BAJ30" s="561"/>
      <c r="BAK30" s="561"/>
      <c r="BAL30" s="561"/>
      <c r="BAM30" s="561"/>
      <c r="BAN30" s="561"/>
      <c r="BAO30" s="561"/>
      <c r="BAP30" s="561"/>
      <c r="BAQ30" s="561"/>
      <c r="BAR30" s="561"/>
      <c r="BAS30" s="561"/>
      <c r="BAT30" s="561"/>
      <c r="BAU30" s="561"/>
      <c r="BAV30" s="561"/>
      <c r="BAW30" s="561"/>
      <c r="BAX30" s="561"/>
      <c r="BAY30" s="561"/>
      <c r="BAZ30" s="561"/>
      <c r="BBA30" s="561"/>
      <c r="BBB30" s="561"/>
      <c r="BBC30" s="561"/>
      <c r="BBD30" s="561"/>
      <c r="BBE30" s="561"/>
      <c r="BBF30" s="561"/>
      <c r="BBG30" s="561"/>
      <c r="BBH30" s="561"/>
      <c r="BBI30" s="561"/>
      <c r="BBJ30" s="561"/>
      <c r="BBK30" s="561"/>
      <c r="BBL30" s="561"/>
      <c r="BBM30" s="561"/>
      <c r="BBN30" s="561"/>
      <c r="BBO30" s="561"/>
      <c r="BBP30" s="561"/>
      <c r="BBQ30" s="561"/>
      <c r="BBR30" s="561"/>
      <c r="BBS30" s="561"/>
      <c r="BBT30" s="561"/>
      <c r="BBU30" s="561"/>
      <c r="BBV30" s="561"/>
      <c r="BBW30" s="561"/>
      <c r="BBX30" s="561"/>
      <c r="BBY30" s="561"/>
      <c r="BBZ30" s="561"/>
      <c r="BCA30" s="561"/>
      <c r="BCB30" s="561"/>
      <c r="BCC30" s="561"/>
      <c r="BCD30" s="561"/>
      <c r="BCE30" s="561"/>
      <c r="BCF30" s="561"/>
      <c r="BCG30" s="561"/>
      <c r="BCH30" s="561"/>
      <c r="BCI30" s="561"/>
      <c r="BCJ30" s="561"/>
      <c r="BCK30" s="561"/>
      <c r="BCL30" s="561"/>
      <c r="BCM30" s="561"/>
      <c r="BCN30" s="561"/>
      <c r="BCO30" s="561"/>
      <c r="BCP30" s="561"/>
      <c r="BCQ30" s="561"/>
      <c r="BCR30" s="561"/>
      <c r="BCS30" s="561"/>
      <c r="BCT30" s="561"/>
      <c r="BCU30" s="561"/>
      <c r="BCV30" s="561"/>
      <c r="BCW30" s="561"/>
      <c r="BCX30" s="561"/>
      <c r="BCY30" s="561"/>
      <c r="BCZ30" s="561"/>
      <c r="BDA30" s="561"/>
      <c r="BDB30" s="561"/>
      <c r="BDC30" s="561"/>
      <c r="BDD30" s="561"/>
      <c r="BDE30" s="561"/>
      <c r="BDF30" s="561"/>
      <c r="BDG30" s="561"/>
      <c r="BDH30" s="561"/>
      <c r="BDI30" s="561"/>
      <c r="BDJ30" s="561"/>
      <c r="BDK30" s="561"/>
      <c r="BDL30" s="561"/>
      <c r="BDM30" s="561"/>
      <c r="BDN30" s="561"/>
      <c r="BDO30" s="561"/>
      <c r="BDP30" s="561"/>
      <c r="BDQ30" s="561"/>
      <c r="BDR30" s="561"/>
      <c r="BDS30" s="561"/>
      <c r="BDT30" s="561"/>
      <c r="BDU30" s="561"/>
      <c r="BDV30" s="561"/>
      <c r="BDW30" s="561"/>
      <c r="BDX30" s="561"/>
      <c r="BDY30" s="561"/>
      <c r="BDZ30" s="561"/>
      <c r="BEA30" s="561"/>
      <c r="BEB30" s="561"/>
      <c r="BEC30" s="561"/>
      <c r="BED30" s="561"/>
      <c r="BEE30" s="561"/>
      <c r="BEF30" s="561"/>
      <c r="BEG30" s="561"/>
      <c r="BEH30" s="561"/>
      <c r="BEI30" s="561"/>
      <c r="BEJ30" s="561"/>
      <c r="BEK30" s="561"/>
      <c r="BEL30" s="561"/>
      <c r="BEM30" s="561"/>
      <c r="BEN30" s="561"/>
      <c r="BEO30" s="561"/>
      <c r="BEP30" s="561"/>
      <c r="BEQ30" s="561"/>
      <c r="BER30" s="561"/>
      <c r="BES30" s="561"/>
      <c r="BET30" s="561"/>
      <c r="BEU30" s="561"/>
      <c r="BEV30" s="561"/>
      <c r="BEW30" s="561"/>
      <c r="BEX30" s="561"/>
      <c r="BEY30" s="561"/>
      <c r="BEZ30" s="561"/>
      <c r="BFA30" s="561"/>
      <c r="BFB30" s="561"/>
      <c r="BFC30" s="561"/>
      <c r="BFD30" s="561"/>
      <c r="BFE30" s="561"/>
      <c r="BFF30" s="561"/>
      <c r="BFG30" s="561"/>
      <c r="BFH30" s="561"/>
      <c r="BFI30" s="561"/>
      <c r="BFJ30" s="561"/>
      <c r="BFK30" s="561"/>
      <c r="BFL30" s="561"/>
      <c r="BFM30" s="561"/>
      <c r="BFN30" s="561"/>
      <c r="BFO30" s="561"/>
      <c r="BFP30" s="561"/>
      <c r="BFQ30" s="561"/>
      <c r="BFR30" s="561"/>
      <c r="BFS30" s="561"/>
      <c r="BFT30" s="561"/>
      <c r="BFU30" s="561"/>
      <c r="BFV30" s="561"/>
      <c r="BFW30" s="561"/>
      <c r="BFX30" s="561"/>
      <c r="BFY30" s="561"/>
      <c r="BFZ30" s="561"/>
      <c r="BGA30" s="561"/>
      <c r="BGB30" s="561"/>
      <c r="BGC30" s="561"/>
      <c r="BGD30" s="561"/>
      <c r="BGE30" s="561"/>
      <c r="BGF30" s="561"/>
      <c r="BGG30" s="561"/>
      <c r="BGH30" s="561"/>
      <c r="BGI30" s="561"/>
      <c r="BGJ30" s="561"/>
      <c r="BGK30" s="561"/>
      <c r="BGL30" s="561"/>
      <c r="BGM30" s="561"/>
      <c r="BGN30" s="561"/>
      <c r="BGO30" s="561"/>
      <c r="BGP30" s="561"/>
      <c r="BGQ30" s="561"/>
      <c r="BGR30" s="561"/>
      <c r="BGS30" s="561"/>
      <c r="BGT30" s="561"/>
      <c r="BGU30" s="561"/>
      <c r="BGV30" s="561"/>
      <c r="BGW30" s="561"/>
      <c r="BGX30" s="561"/>
      <c r="BGY30" s="561"/>
      <c r="BGZ30" s="561"/>
      <c r="BHA30" s="561"/>
      <c r="BHB30" s="561"/>
      <c r="BHC30" s="561"/>
      <c r="BHD30" s="561"/>
      <c r="BHE30" s="561"/>
      <c r="BHF30" s="561"/>
      <c r="BHG30" s="561"/>
      <c r="BHH30" s="561"/>
      <c r="BHI30" s="561"/>
      <c r="BHJ30" s="561"/>
      <c r="BHK30" s="561"/>
      <c r="BHL30" s="561"/>
      <c r="BHM30" s="561"/>
      <c r="BHN30" s="561"/>
      <c r="BHO30" s="561"/>
      <c r="BHP30" s="561"/>
      <c r="BHQ30" s="561"/>
      <c r="BHR30" s="561"/>
      <c r="BHS30" s="561"/>
      <c r="BHT30" s="561"/>
      <c r="BHU30" s="561"/>
      <c r="BHV30" s="561"/>
      <c r="BHW30" s="561"/>
      <c r="BHX30" s="561"/>
      <c r="BHY30" s="561"/>
      <c r="BHZ30" s="561"/>
      <c r="BIA30" s="561"/>
      <c r="BIB30" s="561"/>
      <c r="BIC30" s="561"/>
      <c r="BID30" s="561"/>
      <c r="BIE30" s="561"/>
      <c r="BIF30" s="561"/>
      <c r="BIG30" s="561"/>
      <c r="BIH30" s="561"/>
      <c r="BII30" s="561"/>
      <c r="BIJ30" s="561"/>
      <c r="BIK30" s="561"/>
      <c r="BIL30" s="561"/>
      <c r="BIM30" s="561"/>
      <c r="BIN30" s="561"/>
      <c r="BIO30" s="561"/>
      <c r="BIP30" s="561"/>
      <c r="BIQ30" s="561"/>
      <c r="BIR30" s="561"/>
      <c r="BIS30" s="561"/>
      <c r="BIT30" s="561"/>
      <c r="BIU30" s="561"/>
      <c r="BIV30" s="561"/>
      <c r="BIW30" s="561"/>
      <c r="BIX30" s="561"/>
      <c r="BIY30" s="561"/>
      <c r="BIZ30" s="561"/>
      <c r="BJA30" s="561"/>
      <c r="BJB30" s="561"/>
      <c r="BJC30" s="561"/>
      <c r="BJD30" s="561"/>
      <c r="BJE30" s="561"/>
      <c r="BJF30" s="561"/>
      <c r="BJG30" s="561"/>
      <c r="BJH30" s="561"/>
      <c r="BJI30" s="561"/>
      <c r="BJJ30" s="561"/>
      <c r="BJK30" s="561"/>
      <c r="BJL30" s="561"/>
      <c r="BJM30" s="561"/>
      <c r="BJN30" s="561"/>
      <c r="BJO30" s="561"/>
      <c r="BJP30" s="561"/>
      <c r="BJQ30" s="561"/>
      <c r="BJR30" s="561"/>
      <c r="BJS30" s="561"/>
      <c r="BJT30" s="561"/>
      <c r="BJU30" s="561"/>
      <c r="BJV30" s="561"/>
      <c r="BJW30" s="561"/>
      <c r="BJX30" s="561"/>
      <c r="BJY30" s="561"/>
      <c r="BJZ30" s="561"/>
      <c r="BKA30" s="561"/>
      <c r="BKB30" s="561"/>
      <c r="BKC30" s="561"/>
      <c r="BKD30" s="561"/>
      <c r="BKE30" s="561"/>
      <c r="BKF30" s="561"/>
      <c r="BKG30" s="561"/>
      <c r="BKH30" s="561"/>
      <c r="BKI30" s="561"/>
      <c r="BKJ30" s="561"/>
      <c r="BKK30" s="561"/>
      <c r="BKL30" s="561"/>
      <c r="BKM30" s="561"/>
      <c r="BKN30" s="561"/>
      <c r="BKO30" s="561"/>
      <c r="BKP30" s="561"/>
      <c r="BKQ30" s="561"/>
      <c r="BKR30" s="561"/>
      <c r="BKS30" s="561"/>
      <c r="BKT30" s="561"/>
      <c r="BKU30" s="561"/>
      <c r="BKV30" s="561"/>
      <c r="BKW30" s="561"/>
      <c r="BKX30" s="561"/>
      <c r="BKY30" s="561"/>
      <c r="BKZ30" s="561"/>
      <c r="BLA30" s="561"/>
      <c r="BLB30" s="561"/>
      <c r="BLC30" s="561"/>
      <c r="BLD30" s="561"/>
      <c r="BLE30" s="561"/>
      <c r="BLF30" s="561"/>
      <c r="BLG30" s="561"/>
      <c r="BLH30" s="561"/>
      <c r="BLI30" s="561"/>
      <c r="BLJ30" s="561"/>
      <c r="BLK30" s="561"/>
      <c r="BLL30" s="561"/>
      <c r="BLM30" s="561"/>
      <c r="BLN30" s="561"/>
      <c r="BLO30" s="561"/>
      <c r="BLP30" s="561"/>
      <c r="BLQ30" s="561"/>
      <c r="BLR30" s="561"/>
      <c r="BLS30" s="561"/>
      <c r="BLT30" s="561"/>
      <c r="BLU30" s="561"/>
      <c r="BLV30" s="561"/>
      <c r="BLW30" s="561"/>
      <c r="BLX30" s="561"/>
      <c r="BLY30" s="561"/>
      <c r="BLZ30" s="561"/>
      <c r="BMA30" s="561"/>
      <c r="BMB30" s="561"/>
      <c r="BMC30" s="561"/>
      <c r="BMD30" s="561"/>
      <c r="BME30" s="561"/>
      <c r="BMF30" s="561"/>
      <c r="BMG30" s="561"/>
      <c r="BMH30" s="561"/>
      <c r="BMI30" s="561"/>
      <c r="BMJ30" s="561"/>
      <c r="BMK30" s="561"/>
      <c r="BML30" s="561"/>
      <c r="BMM30" s="561"/>
      <c r="BMN30" s="561"/>
      <c r="BMO30" s="561"/>
      <c r="BMP30" s="561"/>
      <c r="BMQ30" s="561"/>
      <c r="BMR30" s="561"/>
      <c r="BMS30" s="561"/>
      <c r="BMT30" s="561"/>
      <c r="BMU30" s="561"/>
      <c r="BMV30" s="561"/>
      <c r="BMW30" s="561"/>
      <c r="BMX30" s="561"/>
      <c r="BMY30" s="561"/>
      <c r="BMZ30" s="561"/>
      <c r="BNA30" s="561"/>
      <c r="BNB30" s="561"/>
      <c r="BNC30" s="561"/>
      <c r="BND30" s="561"/>
      <c r="BNE30" s="561"/>
      <c r="BNF30" s="561"/>
      <c r="BNG30" s="561"/>
      <c r="BNH30" s="561"/>
      <c r="BNI30" s="561"/>
      <c r="BNJ30" s="561"/>
      <c r="BNK30" s="561"/>
      <c r="BNL30" s="561"/>
      <c r="BNM30" s="561"/>
      <c r="BNN30" s="561"/>
      <c r="BNO30" s="561"/>
      <c r="BNP30" s="561"/>
      <c r="BNQ30" s="561"/>
      <c r="BNR30" s="561"/>
      <c r="BNS30" s="561"/>
      <c r="BNT30" s="561"/>
      <c r="BNU30" s="561"/>
      <c r="BNV30" s="561"/>
      <c r="BNW30" s="561"/>
      <c r="BNX30" s="561"/>
      <c r="BNY30" s="561"/>
      <c r="BNZ30" s="561"/>
      <c r="BOA30" s="561"/>
      <c r="BOB30" s="561"/>
      <c r="BOC30" s="561"/>
      <c r="BOD30" s="561"/>
      <c r="BOE30" s="561"/>
      <c r="BOF30" s="561"/>
      <c r="BOG30" s="561"/>
      <c r="BOH30" s="561"/>
      <c r="BOI30" s="561"/>
      <c r="BOJ30" s="561"/>
      <c r="BOK30" s="561"/>
      <c r="BOL30" s="561"/>
      <c r="BOM30" s="561"/>
      <c r="BON30" s="561"/>
      <c r="BOO30" s="561"/>
      <c r="BOP30" s="561"/>
      <c r="BOQ30" s="561"/>
      <c r="BOR30" s="561"/>
      <c r="BOS30" s="561"/>
      <c r="BOT30" s="561"/>
      <c r="BOU30" s="561"/>
      <c r="BOV30" s="561"/>
      <c r="BOW30" s="561"/>
      <c r="BOX30" s="561"/>
      <c r="BOY30" s="561"/>
      <c r="BOZ30" s="561"/>
      <c r="BPA30" s="561"/>
      <c r="BPB30" s="561"/>
      <c r="BPC30" s="561"/>
      <c r="BPD30" s="561"/>
      <c r="BPE30" s="561"/>
      <c r="BPF30" s="561"/>
      <c r="BPG30" s="561"/>
      <c r="BPH30" s="561"/>
      <c r="BPI30" s="561"/>
      <c r="BPJ30" s="561"/>
      <c r="BPK30" s="561"/>
      <c r="BPL30" s="561"/>
      <c r="BPM30" s="561"/>
      <c r="BPN30" s="561"/>
      <c r="BPO30" s="561"/>
      <c r="BPP30" s="561"/>
      <c r="BPQ30" s="561"/>
      <c r="BPR30" s="561"/>
      <c r="BPS30" s="561"/>
      <c r="BPT30" s="561"/>
      <c r="BPU30" s="561"/>
      <c r="BPV30" s="561"/>
      <c r="BPW30" s="561"/>
      <c r="BPX30" s="561"/>
      <c r="BPY30" s="561"/>
      <c r="BPZ30" s="561"/>
      <c r="BQA30" s="561"/>
      <c r="BQB30" s="561"/>
      <c r="BQC30" s="561"/>
      <c r="BQD30" s="561"/>
      <c r="BQE30" s="561"/>
      <c r="BQF30" s="561"/>
      <c r="BQG30" s="561"/>
      <c r="BQH30" s="561"/>
      <c r="BQI30" s="561"/>
      <c r="BQJ30" s="561"/>
      <c r="BQK30" s="561"/>
      <c r="BQL30" s="561"/>
      <c r="BQM30" s="561"/>
      <c r="BQN30" s="561"/>
      <c r="BQO30" s="561"/>
      <c r="BQP30" s="561"/>
      <c r="BQQ30" s="561"/>
      <c r="BQR30" s="561"/>
      <c r="BQS30" s="561"/>
      <c r="BQT30" s="561"/>
      <c r="BQU30" s="561"/>
      <c r="BQV30" s="561"/>
      <c r="BQW30" s="561"/>
      <c r="BQX30" s="561"/>
      <c r="BQY30" s="561"/>
      <c r="BQZ30" s="561"/>
      <c r="BRA30" s="561"/>
      <c r="BRB30" s="561"/>
      <c r="BRC30" s="561"/>
      <c r="BRD30" s="561"/>
      <c r="BRE30" s="561"/>
      <c r="BRF30" s="561"/>
      <c r="BRG30" s="561"/>
      <c r="BRH30" s="561"/>
      <c r="BRI30" s="561"/>
      <c r="BRJ30" s="561"/>
      <c r="BRK30" s="561"/>
      <c r="BRL30" s="561"/>
      <c r="BRM30" s="561"/>
      <c r="BRN30" s="561"/>
      <c r="BRO30" s="561"/>
      <c r="BRP30" s="561"/>
      <c r="BRQ30" s="561"/>
      <c r="BRR30" s="561"/>
      <c r="BRS30" s="561"/>
      <c r="BRT30" s="561"/>
      <c r="BRU30" s="561"/>
      <c r="BRV30" s="561"/>
      <c r="BRW30" s="561"/>
      <c r="BRX30" s="561"/>
      <c r="BRY30" s="561"/>
      <c r="BRZ30" s="561"/>
      <c r="BSA30" s="561"/>
      <c r="BSB30" s="561"/>
      <c r="BSC30" s="561"/>
      <c r="BSD30" s="561"/>
      <c r="BSE30" s="561"/>
      <c r="BSF30" s="561"/>
      <c r="BSG30" s="561"/>
      <c r="BSH30" s="561"/>
      <c r="BSI30" s="561"/>
      <c r="BSJ30" s="561"/>
      <c r="BSK30" s="561"/>
      <c r="BSL30" s="561"/>
      <c r="BSM30" s="561"/>
      <c r="BSN30" s="561"/>
      <c r="BSO30" s="561"/>
      <c r="BSP30" s="561"/>
      <c r="BSQ30" s="561"/>
      <c r="BSR30" s="561"/>
      <c r="BSS30" s="561"/>
      <c r="BST30" s="561"/>
      <c r="BSU30" s="561"/>
      <c r="BSV30" s="561"/>
      <c r="BSW30" s="561"/>
      <c r="BSX30" s="561"/>
      <c r="BSY30" s="561"/>
      <c r="BSZ30" s="561"/>
      <c r="BTA30" s="561"/>
      <c r="BTB30" s="561"/>
      <c r="BTC30" s="561"/>
      <c r="BTD30" s="561"/>
      <c r="BTE30" s="561"/>
      <c r="BTF30" s="561"/>
      <c r="BTG30" s="561"/>
      <c r="BTH30" s="561"/>
      <c r="BTI30" s="561"/>
      <c r="BTJ30" s="561"/>
      <c r="BTK30" s="561"/>
      <c r="BTL30" s="561"/>
      <c r="BTM30" s="561"/>
      <c r="BTN30" s="561"/>
      <c r="BTO30" s="561"/>
      <c r="BTP30" s="561"/>
      <c r="BTQ30" s="561"/>
      <c r="BTR30" s="561"/>
      <c r="BTS30" s="561"/>
      <c r="BTT30" s="561"/>
      <c r="BTU30" s="561"/>
      <c r="BTV30" s="561"/>
      <c r="BTW30" s="561"/>
      <c r="BTX30" s="561"/>
      <c r="BTY30" s="561"/>
      <c r="BTZ30" s="561"/>
      <c r="BUA30" s="561"/>
      <c r="BUB30" s="561"/>
      <c r="BUC30" s="561"/>
      <c r="BUD30" s="561"/>
      <c r="BUE30" s="561"/>
      <c r="BUF30" s="561"/>
      <c r="BUG30" s="561"/>
      <c r="BUH30" s="561"/>
      <c r="BUI30" s="561"/>
      <c r="BUJ30" s="561"/>
      <c r="BUK30" s="561"/>
      <c r="BUL30" s="561"/>
      <c r="BUM30" s="561"/>
      <c r="BUN30" s="561"/>
      <c r="BUO30" s="561"/>
      <c r="BUP30" s="561"/>
      <c r="BUQ30" s="561"/>
      <c r="BUR30" s="561"/>
      <c r="BUS30" s="561"/>
      <c r="BUT30" s="561"/>
      <c r="BUU30" s="561"/>
      <c r="BUV30" s="561"/>
      <c r="BUW30" s="561"/>
      <c r="BUX30" s="561"/>
      <c r="BUY30" s="561"/>
      <c r="BUZ30" s="561"/>
      <c r="BVA30" s="561"/>
      <c r="BVB30" s="561"/>
      <c r="BVC30" s="561"/>
      <c r="BVD30" s="561"/>
      <c r="BVE30" s="561"/>
      <c r="BVF30" s="561"/>
      <c r="BVG30" s="561"/>
      <c r="BVH30" s="561"/>
      <c r="BVI30" s="561"/>
    </row>
    <row r="31" spans="1:1933" s="559" customFormat="1" ht="76.5">
      <c r="A31" s="137" t="s">
        <v>12</v>
      </c>
      <c r="B31" s="609" t="s">
        <v>153</v>
      </c>
      <c r="C31" s="41"/>
      <c r="D31" s="93" t="s">
        <v>358</v>
      </c>
      <c r="E31" s="108" t="s">
        <v>80</v>
      </c>
      <c r="F31" s="108" t="s">
        <v>95</v>
      </c>
      <c r="G31" s="108" t="s">
        <v>182</v>
      </c>
      <c r="H31" s="241">
        <v>300</v>
      </c>
      <c r="I31" s="34" t="s">
        <v>197</v>
      </c>
      <c r="J31" s="41"/>
      <c r="K31" s="218"/>
      <c r="L31" s="25">
        <v>71.900000000000006</v>
      </c>
      <c r="M31" s="25">
        <v>48</v>
      </c>
      <c r="N31" s="25">
        <v>28.3</v>
      </c>
      <c r="O31" s="25">
        <f>SUM(P31:Q31)</f>
        <v>48</v>
      </c>
      <c r="P31" s="25">
        <v>48</v>
      </c>
      <c r="Q31" s="25"/>
      <c r="R31" s="25">
        <f>SUM(S31:T31)</f>
        <v>40</v>
      </c>
      <c r="S31" s="25">
        <v>40</v>
      </c>
      <c r="T31" s="25"/>
      <c r="U31" s="25">
        <f>SUM(V31:W31)</f>
        <v>40</v>
      </c>
      <c r="V31" s="25">
        <v>40</v>
      </c>
      <c r="W31" s="25"/>
    </row>
    <row r="32" spans="1:1933" s="559" customFormat="1">
      <c r="A32" s="630" t="s">
        <v>157</v>
      </c>
      <c r="B32" s="421" t="s">
        <v>158</v>
      </c>
      <c r="C32" s="421"/>
      <c r="D32" s="421"/>
      <c r="E32" s="421"/>
      <c r="F32" s="421"/>
      <c r="G32" s="421"/>
      <c r="H32" s="421"/>
      <c r="I32" s="421"/>
      <c r="J32" s="421"/>
      <c r="K32" s="421"/>
      <c r="L32" s="665">
        <f>L33</f>
        <v>1620.5</v>
      </c>
      <c r="M32" s="665">
        <f t="shared" ref="M32:W32" si="12">M33</f>
        <v>14533.1</v>
      </c>
      <c r="N32" s="665">
        <f t="shared" si="12"/>
        <v>0</v>
      </c>
      <c r="O32" s="665">
        <f t="shared" si="12"/>
        <v>17000</v>
      </c>
      <c r="P32" s="665">
        <f t="shared" si="12"/>
        <v>17000</v>
      </c>
      <c r="Q32" s="665">
        <f t="shared" si="12"/>
        <v>0</v>
      </c>
      <c r="R32" s="665">
        <f t="shared" si="12"/>
        <v>31933.5</v>
      </c>
      <c r="S32" s="665">
        <f t="shared" si="12"/>
        <v>31933.5</v>
      </c>
      <c r="T32" s="665">
        <f t="shared" si="12"/>
        <v>0</v>
      </c>
      <c r="U32" s="665">
        <f t="shared" si="12"/>
        <v>38891.800000000003</v>
      </c>
      <c r="V32" s="665">
        <f t="shared" si="12"/>
        <v>38891.800000000003</v>
      </c>
      <c r="W32" s="665">
        <f t="shared" si="12"/>
        <v>0</v>
      </c>
    </row>
    <row r="33" spans="1:167" s="564" customFormat="1" ht="63">
      <c r="A33" s="225"/>
      <c r="B33" s="610" t="s">
        <v>159</v>
      </c>
      <c r="C33" s="41"/>
      <c r="D33" s="218" t="s">
        <v>359</v>
      </c>
      <c r="E33" s="112" t="s">
        <v>83</v>
      </c>
      <c r="F33" s="112" t="s">
        <v>92</v>
      </c>
      <c r="G33" s="112" t="s">
        <v>183</v>
      </c>
      <c r="H33" s="250">
        <v>730</v>
      </c>
      <c r="I33" s="1" t="s">
        <v>980</v>
      </c>
      <c r="J33" s="41"/>
      <c r="K33" s="41"/>
      <c r="L33" s="25">
        <v>1620.5</v>
      </c>
      <c r="M33" s="25">
        <v>14533.1</v>
      </c>
      <c r="N33" s="25">
        <v>0</v>
      </c>
      <c r="O33" s="25">
        <f>SUM(P33:Q33)</f>
        <v>17000</v>
      </c>
      <c r="P33" s="25">
        <v>17000</v>
      </c>
      <c r="Q33" s="25"/>
      <c r="R33" s="25">
        <f>SUM(S33:T33)</f>
        <v>31933.5</v>
      </c>
      <c r="S33" s="25">
        <v>31933.5</v>
      </c>
      <c r="T33" s="25"/>
      <c r="U33" s="25">
        <f>SUM(V33:W33)</f>
        <v>38891.800000000003</v>
      </c>
      <c r="V33" s="25">
        <v>38891.800000000003</v>
      </c>
      <c r="W33" s="25"/>
      <c r="X33" s="563"/>
      <c r="Y33" s="563"/>
      <c r="Z33" s="563"/>
      <c r="AA33" s="563"/>
      <c r="AB33" s="563"/>
      <c r="AC33" s="563"/>
      <c r="AD33" s="563"/>
      <c r="AE33" s="563"/>
      <c r="AF33" s="563"/>
      <c r="AG33" s="563"/>
      <c r="AH33" s="563"/>
      <c r="AI33" s="563"/>
      <c r="AJ33" s="563"/>
      <c r="AK33" s="563"/>
      <c r="AL33" s="563"/>
      <c r="AM33" s="563"/>
      <c r="AN33" s="563"/>
      <c r="AO33" s="563"/>
      <c r="AP33" s="563"/>
      <c r="AQ33" s="563"/>
      <c r="AR33" s="563"/>
      <c r="AS33" s="563"/>
      <c r="AT33" s="563"/>
      <c r="AU33" s="563"/>
      <c r="AV33" s="563"/>
      <c r="AW33" s="563"/>
      <c r="AX33" s="563"/>
      <c r="AY33" s="563"/>
      <c r="AZ33" s="563"/>
      <c r="BA33" s="563"/>
      <c r="BB33" s="563"/>
      <c r="BC33" s="563"/>
      <c r="BD33" s="563"/>
      <c r="BE33" s="563"/>
      <c r="BF33" s="563"/>
      <c r="BG33" s="563"/>
      <c r="BH33" s="563"/>
      <c r="BI33" s="563"/>
      <c r="BJ33" s="563"/>
      <c r="BK33" s="563"/>
      <c r="BL33" s="563"/>
      <c r="BM33" s="563"/>
      <c r="BN33" s="563"/>
      <c r="BO33" s="563"/>
      <c r="BP33" s="563"/>
      <c r="BQ33" s="563"/>
      <c r="BR33" s="563"/>
      <c r="BS33" s="563"/>
      <c r="BT33" s="563"/>
      <c r="BU33" s="563"/>
      <c r="BV33" s="563"/>
      <c r="BW33" s="563"/>
      <c r="BX33" s="563"/>
      <c r="BY33" s="563"/>
      <c r="BZ33" s="563"/>
      <c r="CA33" s="563"/>
      <c r="CB33" s="563"/>
      <c r="CC33" s="563"/>
      <c r="CD33" s="563"/>
      <c r="CE33" s="563"/>
      <c r="CF33" s="563"/>
      <c r="CG33" s="563"/>
      <c r="CH33" s="563"/>
      <c r="CI33" s="563"/>
      <c r="CJ33" s="563"/>
      <c r="CK33" s="563"/>
      <c r="CL33" s="563"/>
      <c r="CM33" s="563"/>
      <c r="CN33" s="563"/>
      <c r="CO33" s="563"/>
      <c r="CP33" s="563"/>
      <c r="CQ33" s="563"/>
      <c r="CR33" s="563"/>
      <c r="CS33" s="563"/>
      <c r="CT33" s="563"/>
      <c r="CU33" s="563"/>
      <c r="CV33" s="563"/>
      <c r="CW33" s="563"/>
      <c r="CX33" s="563"/>
      <c r="CY33" s="563"/>
      <c r="CZ33" s="563"/>
      <c r="DA33" s="563"/>
      <c r="DB33" s="563"/>
      <c r="DC33" s="563"/>
      <c r="DD33" s="563"/>
      <c r="DE33" s="563"/>
      <c r="DF33" s="563"/>
      <c r="DG33" s="563"/>
      <c r="DH33" s="563"/>
      <c r="DI33" s="563"/>
      <c r="DJ33" s="563"/>
      <c r="DK33" s="563"/>
      <c r="DL33" s="563"/>
      <c r="DM33" s="563"/>
      <c r="DN33" s="563"/>
      <c r="DO33" s="563"/>
      <c r="DP33" s="563"/>
      <c r="DQ33" s="563"/>
      <c r="DR33" s="563"/>
      <c r="DS33" s="563"/>
      <c r="DT33" s="563"/>
      <c r="DU33" s="563"/>
      <c r="DV33" s="563"/>
      <c r="DW33" s="563"/>
      <c r="DX33" s="563"/>
      <c r="DY33" s="563"/>
      <c r="DZ33" s="563"/>
      <c r="EA33" s="563"/>
      <c r="EB33" s="563"/>
      <c r="EC33" s="563"/>
      <c r="ED33" s="563"/>
      <c r="EE33" s="563"/>
      <c r="EF33" s="563"/>
      <c r="EG33" s="563"/>
      <c r="EH33" s="563"/>
      <c r="EI33" s="563"/>
      <c r="EJ33" s="563"/>
      <c r="EK33" s="563"/>
      <c r="EL33" s="563"/>
      <c r="EM33" s="563"/>
      <c r="EN33" s="563"/>
      <c r="EO33" s="563"/>
      <c r="EP33" s="563"/>
      <c r="EQ33" s="563"/>
      <c r="ER33" s="563"/>
      <c r="ES33" s="563"/>
      <c r="ET33" s="563"/>
      <c r="EU33" s="563"/>
      <c r="EV33" s="563"/>
      <c r="EW33" s="563"/>
      <c r="EX33" s="563"/>
      <c r="EY33" s="563"/>
      <c r="EZ33" s="563"/>
      <c r="FA33" s="563"/>
      <c r="FB33" s="563"/>
      <c r="FC33" s="563"/>
      <c r="FD33" s="563"/>
      <c r="FE33" s="563"/>
      <c r="FF33" s="563"/>
      <c r="FG33" s="563"/>
      <c r="FH33" s="563"/>
      <c r="FI33" s="563"/>
      <c r="FJ33" s="563"/>
      <c r="FK33" s="563"/>
    </row>
    <row r="34" spans="1:167" s="564" customFormat="1">
      <c r="A34" s="630" t="s">
        <v>56</v>
      </c>
      <c r="B34" s="421" t="s">
        <v>31</v>
      </c>
      <c r="C34" s="421"/>
      <c r="D34" s="421"/>
      <c r="E34" s="421"/>
      <c r="F34" s="421"/>
      <c r="G34" s="421"/>
      <c r="H34" s="421"/>
      <c r="I34" s="421"/>
      <c r="J34" s="421"/>
      <c r="K34" s="421"/>
      <c r="L34" s="665">
        <f>L36+L35</f>
        <v>1081.3</v>
      </c>
      <c r="M34" s="665">
        <f>M36+M35</f>
        <v>6330</v>
      </c>
      <c r="N34" s="665">
        <f t="shared" ref="N34:W34" si="13">N36+N35</f>
        <v>0</v>
      </c>
      <c r="O34" s="665">
        <f t="shared" si="13"/>
        <v>9030.6</v>
      </c>
      <c r="P34" s="665">
        <f t="shared" si="13"/>
        <v>9030.6</v>
      </c>
      <c r="Q34" s="665">
        <f t="shared" si="13"/>
        <v>0</v>
      </c>
      <c r="R34" s="665">
        <f t="shared" si="13"/>
        <v>8947</v>
      </c>
      <c r="S34" s="665">
        <f t="shared" si="13"/>
        <v>8947</v>
      </c>
      <c r="T34" s="665">
        <f>T36+T35</f>
        <v>0</v>
      </c>
      <c r="U34" s="665">
        <f t="shared" si="13"/>
        <v>9037.1</v>
      </c>
      <c r="V34" s="665">
        <f t="shared" si="13"/>
        <v>9037.1</v>
      </c>
      <c r="W34" s="665">
        <f t="shared" si="13"/>
        <v>0</v>
      </c>
      <c r="X34" s="563"/>
      <c r="Y34" s="563"/>
      <c r="Z34" s="563"/>
      <c r="AA34" s="563"/>
      <c r="AB34" s="563"/>
      <c r="AC34" s="563"/>
      <c r="AD34" s="563"/>
      <c r="AE34" s="563"/>
      <c r="AF34" s="563"/>
      <c r="AG34" s="563"/>
      <c r="AH34" s="563"/>
      <c r="AI34" s="563"/>
      <c r="AJ34" s="563"/>
      <c r="AK34" s="563"/>
      <c r="AL34" s="563"/>
      <c r="AM34" s="563"/>
      <c r="AN34" s="563"/>
      <c r="AO34" s="563"/>
      <c r="AP34" s="563"/>
      <c r="AQ34" s="563"/>
      <c r="AR34" s="563"/>
      <c r="AS34" s="563"/>
      <c r="AT34" s="563"/>
      <c r="AU34" s="563"/>
      <c r="AV34" s="563"/>
      <c r="AW34" s="563"/>
      <c r="AX34" s="563"/>
      <c r="AY34" s="563"/>
      <c r="AZ34" s="563"/>
      <c r="BA34" s="563"/>
      <c r="BB34" s="563"/>
      <c r="BC34" s="563"/>
      <c r="BD34" s="563"/>
      <c r="BE34" s="563"/>
      <c r="BF34" s="563"/>
      <c r="BG34" s="563"/>
      <c r="BH34" s="563"/>
      <c r="BI34" s="563"/>
      <c r="BJ34" s="563"/>
      <c r="BK34" s="563"/>
      <c r="BL34" s="563"/>
      <c r="BM34" s="563"/>
      <c r="BN34" s="563"/>
      <c r="BO34" s="563"/>
      <c r="BP34" s="563"/>
      <c r="BQ34" s="563"/>
      <c r="BR34" s="563"/>
      <c r="BS34" s="563"/>
      <c r="BT34" s="563"/>
      <c r="BU34" s="563"/>
      <c r="BV34" s="563"/>
      <c r="BW34" s="563"/>
      <c r="BX34" s="563"/>
      <c r="BY34" s="563"/>
      <c r="BZ34" s="563"/>
      <c r="CA34" s="563"/>
      <c r="CB34" s="563"/>
      <c r="CC34" s="563"/>
      <c r="CD34" s="563"/>
      <c r="CE34" s="563"/>
      <c r="CF34" s="563"/>
      <c r="CG34" s="563"/>
      <c r="CH34" s="563"/>
      <c r="CI34" s="563"/>
      <c r="CJ34" s="563"/>
      <c r="CK34" s="563"/>
      <c r="CL34" s="563"/>
      <c r="CM34" s="563"/>
      <c r="CN34" s="563"/>
      <c r="CO34" s="563"/>
      <c r="CP34" s="563"/>
      <c r="CQ34" s="563"/>
      <c r="CR34" s="563"/>
      <c r="CS34" s="563"/>
      <c r="CT34" s="563"/>
      <c r="CU34" s="563"/>
      <c r="CV34" s="563"/>
      <c r="CW34" s="563"/>
      <c r="CX34" s="563"/>
      <c r="CY34" s="563"/>
      <c r="CZ34" s="563"/>
      <c r="DA34" s="563"/>
      <c r="DB34" s="563"/>
      <c r="DC34" s="563"/>
      <c r="DD34" s="563"/>
      <c r="DE34" s="563"/>
      <c r="DF34" s="563"/>
      <c r="DG34" s="563"/>
      <c r="DH34" s="563"/>
      <c r="DI34" s="563"/>
      <c r="DJ34" s="563"/>
      <c r="DK34" s="563"/>
      <c r="DL34" s="563"/>
      <c r="DM34" s="563"/>
      <c r="DN34" s="563"/>
      <c r="DO34" s="563"/>
      <c r="DP34" s="563"/>
      <c r="DQ34" s="563"/>
      <c r="DR34" s="563"/>
      <c r="DS34" s="563"/>
      <c r="DT34" s="563"/>
      <c r="DU34" s="563"/>
      <c r="DV34" s="563"/>
      <c r="DW34" s="563"/>
      <c r="DX34" s="563"/>
      <c r="DY34" s="563"/>
      <c r="DZ34" s="563"/>
      <c r="EA34" s="563"/>
      <c r="EB34" s="563"/>
      <c r="EC34" s="563"/>
      <c r="ED34" s="563"/>
      <c r="EE34" s="563"/>
      <c r="EF34" s="563"/>
      <c r="EG34" s="563"/>
      <c r="EH34" s="563"/>
      <c r="EI34" s="563"/>
      <c r="EJ34" s="563"/>
      <c r="EK34" s="563"/>
      <c r="EL34" s="563"/>
      <c r="EM34" s="563"/>
      <c r="EN34" s="563"/>
      <c r="EO34" s="563"/>
      <c r="EP34" s="563"/>
      <c r="EQ34" s="563"/>
      <c r="ER34" s="563"/>
      <c r="ES34" s="563"/>
      <c r="ET34" s="563"/>
      <c r="EU34" s="563"/>
      <c r="EV34" s="563"/>
      <c r="EW34" s="563"/>
      <c r="EX34" s="563"/>
      <c r="EY34" s="563"/>
      <c r="EZ34" s="563"/>
      <c r="FA34" s="563"/>
      <c r="FB34" s="563"/>
      <c r="FC34" s="563"/>
      <c r="FD34" s="563"/>
      <c r="FE34" s="563"/>
      <c r="FF34" s="563"/>
      <c r="FG34" s="563"/>
      <c r="FH34" s="563"/>
      <c r="FI34" s="563"/>
      <c r="FJ34" s="563"/>
      <c r="FK34" s="563"/>
    </row>
    <row r="35" spans="1:167" s="564" customFormat="1" ht="126">
      <c r="A35" s="611"/>
      <c r="B35" s="611" t="s">
        <v>160</v>
      </c>
      <c r="C35" s="221"/>
      <c r="D35" s="221" t="s">
        <v>360</v>
      </c>
      <c r="E35" s="108" t="s">
        <v>92</v>
      </c>
      <c r="F35" s="108" t="s">
        <v>81</v>
      </c>
      <c r="G35" s="108" t="s">
        <v>124</v>
      </c>
      <c r="H35" s="241">
        <v>800</v>
      </c>
      <c r="I35" s="113" t="s">
        <v>198</v>
      </c>
      <c r="J35" s="42">
        <v>42003</v>
      </c>
      <c r="K35" s="141"/>
      <c r="L35" s="139"/>
      <c r="M35" s="138">
        <v>3955</v>
      </c>
      <c r="N35" s="139"/>
      <c r="O35" s="138">
        <f>P35</f>
        <v>6945</v>
      </c>
      <c r="P35" s="138">
        <v>6945</v>
      </c>
      <c r="Q35" s="138"/>
      <c r="R35" s="138">
        <f>S35</f>
        <v>6880.7</v>
      </c>
      <c r="S35" s="138">
        <v>6880.7</v>
      </c>
      <c r="T35" s="138"/>
      <c r="U35" s="138">
        <f>V35</f>
        <v>6950</v>
      </c>
      <c r="V35" s="138">
        <v>6950</v>
      </c>
      <c r="W35" s="139"/>
    </row>
    <row r="36" spans="1:167" s="564" customFormat="1" ht="78.75">
      <c r="A36" s="225"/>
      <c r="B36" s="43" t="s">
        <v>295</v>
      </c>
      <c r="C36" s="41"/>
      <c r="D36" s="93" t="s">
        <v>357</v>
      </c>
      <c r="E36" s="44" t="s">
        <v>92</v>
      </c>
      <c r="F36" s="44" t="s">
        <v>146</v>
      </c>
      <c r="G36" s="44" t="s">
        <v>296</v>
      </c>
      <c r="H36" s="94">
        <v>800</v>
      </c>
      <c r="I36" s="45" t="s">
        <v>435</v>
      </c>
      <c r="J36" s="46">
        <v>37900</v>
      </c>
      <c r="K36" s="41"/>
      <c r="L36" s="25">
        <v>1081.3</v>
      </c>
      <c r="M36" s="25">
        <v>2375</v>
      </c>
      <c r="N36" s="25">
        <v>0</v>
      </c>
      <c r="O36" s="25">
        <f>SUM(P36:Q36)</f>
        <v>2085.6</v>
      </c>
      <c r="P36" s="25">
        <v>2085.6</v>
      </c>
      <c r="Q36" s="25"/>
      <c r="R36" s="25">
        <f>SUM(S36:T36)</f>
        <v>2066.3000000000002</v>
      </c>
      <c r="S36" s="25">
        <v>2066.3000000000002</v>
      </c>
      <c r="T36" s="25"/>
      <c r="U36" s="25">
        <f>SUM(V36:W36)</f>
        <v>2087.1</v>
      </c>
      <c r="V36" s="25">
        <v>2087.1</v>
      </c>
      <c r="W36" s="25"/>
    </row>
    <row r="37" spans="1:167" s="564" customFormat="1" ht="49.5">
      <c r="A37" s="631" t="s">
        <v>432</v>
      </c>
      <c r="B37" s="98" t="s">
        <v>1229</v>
      </c>
      <c r="C37" s="565"/>
      <c r="D37" s="566"/>
      <c r="E37" s="566"/>
      <c r="F37" s="566"/>
      <c r="G37" s="566"/>
      <c r="H37" s="566"/>
      <c r="I37" s="565"/>
      <c r="J37" s="567"/>
      <c r="K37" s="568" t="s">
        <v>62</v>
      </c>
      <c r="L37" s="569">
        <f>SUM(L38,)</f>
        <v>5007.4000000000005</v>
      </c>
      <c r="M37" s="569">
        <f t="shared" ref="M37:W38" si="14">SUM(M38,)</f>
        <v>5316.9</v>
      </c>
      <c r="N37" s="569">
        <f t="shared" si="14"/>
        <v>2831.9</v>
      </c>
      <c r="O37" s="569">
        <f t="shared" si="14"/>
        <v>6441.3</v>
      </c>
      <c r="P37" s="569">
        <f t="shared" si="14"/>
        <v>6441.3</v>
      </c>
      <c r="Q37" s="569">
        <f t="shared" si="14"/>
        <v>0</v>
      </c>
      <c r="R37" s="569">
        <f t="shared" si="14"/>
        <v>6381.5</v>
      </c>
      <c r="S37" s="569">
        <f t="shared" si="14"/>
        <v>6381.5</v>
      </c>
      <c r="T37" s="569">
        <f t="shared" si="14"/>
        <v>0</v>
      </c>
      <c r="U37" s="569">
        <f t="shared" si="14"/>
        <v>6445.9</v>
      </c>
      <c r="V37" s="569">
        <f t="shared" si="14"/>
        <v>6445.9</v>
      </c>
      <c r="W37" s="569">
        <f t="shared" si="14"/>
        <v>0</v>
      </c>
    </row>
    <row r="38" spans="1:167" s="564" customFormat="1" ht="16.5">
      <c r="A38" s="632" t="s">
        <v>9</v>
      </c>
      <c r="B38" s="570" t="s">
        <v>67</v>
      </c>
      <c r="C38" s="570"/>
      <c r="D38" s="570"/>
      <c r="E38" s="570"/>
      <c r="F38" s="570"/>
      <c r="G38" s="570"/>
      <c r="H38" s="570"/>
      <c r="I38" s="570"/>
      <c r="J38" s="570"/>
      <c r="K38" s="570"/>
      <c r="L38" s="571">
        <f>SUM(L39,)</f>
        <v>5007.4000000000005</v>
      </c>
      <c r="M38" s="571">
        <f t="shared" si="14"/>
        <v>5316.9</v>
      </c>
      <c r="N38" s="571">
        <f t="shared" si="14"/>
        <v>2831.9</v>
      </c>
      <c r="O38" s="571">
        <f t="shared" si="14"/>
        <v>6441.3</v>
      </c>
      <c r="P38" s="571">
        <f t="shared" si="14"/>
        <v>6441.3</v>
      </c>
      <c r="Q38" s="571">
        <f t="shared" si="14"/>
        <v>0</v>
      </c>
      <c r="R38" s="571">
        <f t="shared" si="14"/>
        <v>6381.5</v>
      </c>
      <c r="S38" s="571">
        <f t="shared" si="14"/>
        <v>6381.5</v>
      </c>
      <c r="T38" s="571">
        <f t="shared" si="14"/>
        <v>0</v>
      </c>
      <c r="U38" s="571">
        <f t="shared" si="14"/>
        <v>6445.9</v>
      </c>
      <c r="V38" s="571">
        <f t="shared" si="14"/>
        <v>6445.9</v>
      </c>
      <c r="W38" s="571">
        <f t="shared" si="14"/>
        <v>0</v>
      </c>
    </row>
    <row r="39" spans="1:167" s="564" customFormat="1" ht="16.5">
      <c r="A39" s="572" t="s">
        <v>1230</v>
      </c>
      <c r="B39" s="573"/>
      <c r="C39" s="574"/>
      <c r="D39" s="575"/>
      <c r="E39" s="576"/>
      <c r="F39" s="576"/>
      <c r="G39" s="576"/>
      <c r="H39" s="576"/>
      <c r="I39" s="577"/>
      <c r="J39" s="578"/>
      <c r="K39" s="575"/>
      <c r="L39" s="579">
        <f t="shared" ref="L39:W39" si="15">SUM(L40:L41)</f>
        <v>5007.4000000000005</v>
      </c>
      <c r="M39" s="579">
        <f t="shared" si="15"/>
        <v>5316.9</v>
      </c>
      <c r="N39" s="579">
        <f t="shared" si="15"/>
        <v>2831.9</v>
      </c>
      <c r="O39" s="579">
        <f t="shared" si="15"/>
        <v>6441.3</v>
      </c>
      <c r="P39" s="579">
        <f t="shared" si="15"/>
        <v>6441.3</v>
      </c>
      <c r="Q39" s="579">
        <f t="shared" si="15"/>
        <v>0</v>
      </c>
      <c r="R39" s="579">
        <f t="shared" si="15"/>
        <v>6381.5</v>
      </c>
      <c r="S39" s="579">
        <f t="shared" si="15"/>
        <v>6381.5</v>
      </c>
      <c r="T39" s="579">
        <f t="shared" si="15"/>
        <v>0</v>
      </c>
      <c r="U39" s="579">
        <f t="shared" si="15"/>
        <v>6445.9</v>
      </c>
      <c r="V39" s="579">
        <f t="shared" si="15"/>
        <v>6445.9</v>
      </c>
      <c r="W39" s="579">
        <f t="shared" si="15"/>
        <v>0</v>
      </c>
    </row>
    <row r="40" spans="1:167" s="564" customFormat="1" ht="409.5">
      <c r="A40" s="580" t="s">
        <v>10</v>
      </c>
      <c r="B40" s="573" t="s">
        <v>68</v>
      </c>
      <c r="C40" s="581"/>
      <c r="D40" s="97" t="s">
        <v>383</v>
      </c>
      <c r="E40" s="576"/>
      <c r="F40" s="576"/>
      <c r="G40" s="576"/>
      <c r="H40" s="576">
        <v>100</v>
      </c>
      <c r="I40" s="582" t="s">
        <v>981</v>
      </c>
      <c r="J40" s="583" t="s">
        <v>1231</v>
      </c>
      <c r="K40" s="575"/>
      <c r="L40" s="584">
        <v>4201.8</v>
      </c>
      <c r="M40" s="584">
        <v>4730.8999999999996</v>
      </c>
      <c r="N40" s="584">
        <v>2521.5</v>
      </c>
      <c r="O40" s="584">
        <f>SUM(P40:Q40)</f>
        <v>5675.8</v>
      </c>
      <c r="P40" s="584">
        <v>5675.8</v>
      </c>
      <c r="Q40" s="584"/>
      <c r="R40" s="584">
        <f>SUM(S40:T40)</f>
        <v>5623.1</v>
      </c>
      <c r="S40" s="584">
        <v>5623.1</v>
      </c>
      <c r="T40" s="584"/>
      <c r="U40" s="584">
        <f>SUM(V40:W40)</f>
        <v>5679.86</v>
      </c>
      <c r="V40" s="584">
        <v>5679.86</v>
      </c>
      <c r="W40" s="584"/>
    </row>
    <row r="41" spans="1:167" s="564" customFormat="1" ht="33">
      <c r="A41" s="580" t="s">
        <v>11</v>
      </c>
      <c r="B41" s="573" t="s">
        <v>69</v>
      </c>
      <c r="C41" s="577"/>
      <c r="D41" s="97" t="s">
        <v>349</v>
      </c>
      <c r="E41" s="576"/>
      <c r="F41" s="576"/>
      <c r="G41" s="576"/>
      <c r="H41" s="576">
        <v>200</v>
      </c>
      <c r="I41" s="577"/>
      <c r="J41" s="585"/>
      <c r="K41" s="586"/>
      <c r="L41" s="584">
        <v>805.6</v>
      </c>
      <c r="M41" s="584">
        <v>586</v>
      </c>
      <c r="N41" s="584">
        <v>310.39999999999998</v>
      </c>
      <c r="O41" s="584">
        <f>SUM(P41:Q41)</f>
        <v>765.5</v>
      </c>
      <c r="P41" s="584">
        <v>765.5</v>
      </c>
      <c r="Q41" s="584"/>
      <c r="R41" s="584">
        <f>SUM(S41:T41)</f>
        <v>758.4</v>
      </c>
      <c r="S41" s="584">
        <v>758.4</v>
      </c>
      <c r="T41" s="584"/>
      <c r="U41" s="584">
        <f>SUM(V41:W41)</f>
        <v>766.04</v>
      </c>
      <c r="V41" s="584">
        <v>766.04</v>
      </c>
      <c r="W41" s="584"/>
    </row>
    <row r="42" spans="1:167" s="3" customFormat="1" ht="56.25">
      <c r="A42" s="12" t="s">
        <v>101</v>
      </c>
      <c r="B42" s="98" t="s">
        <v>343</v>
      </c>
      <c r="C42" s="8"/>
      <c r="D42" s="644"/>
      <c r="E42" s="644"/>
      <c r="F42" s="644"/>
      <c r="G42" s="644"/>
      <c r="H42" s="644"/>
      <c r="I42" s="8"/>
      <c r="J42" s="8"/>
      <c r="K42" s="8" t="s">
        <v>62</v>
      </c>
      <c r="L42" s="19">
        <f>SUM(L43,)</f>
        <v>20616.11</v>
      </c>
      <c r="M42" s="19">
        <f t="shared" ref="M42:W42" si="16">SUM(M43,)</f>
        <v>26660.899999999998</v>
      </c>
      <c r="N42" s="19">
        <f t="shared" si="16"/>
        <v>11127.199999999999</v>
      </c>
      <c r="O42" s="19">
        <f t="shared" si="16"/>
        <v>21694</v>
      </c>
      <c r="P42" s="19">
        <f t="shared" si="16"/>
        <v>21694</v>
      </c>
      <c r="Q42" s="19">
        <f t="shared" si="16"/>
        <v>0</v>
      </c>
      <c r="R42" s="19">
        <f t="shared" si="16"/>
        <v>21492.899999999998</v>
      </c>
      <c r="S42" s="19">
        <f t="shared" si="16"/>
        <v>21492.899999999998</v>
      </c>
      <c r="T42" s="19">
        <f t="shared" si="16"/>
        <v>0</v>
      </c>
      <c r="U42" s="19">
        <f t="shared" si="16"/>
        <v>21709.599999999999</v>
      </c>
      <c r="V42" s="19">
        <f t="shared" si="16"/>
        <v>21709.599999999999</v>
      </c>
      <c r="W42" s="19">
        <f t="shared" si="16"/>
        <v>0</v>
      </c>
    </row>
    <row r="43" spans="1:167" s="564" customFormat="1" ht="16.5">
      <c r="A43" s="632" t="s">
        <v>9</v>
      </c>
      <c r="B43" s="570" t="s">
        <v>67</v>
      </c>
      <c r="C43" s="570"/>
      <c r="D43" s="570"/>
      <c r="E43" s="570"/>
      <c r="F43" s="570"/>
      <c r="G43" s="570"/>
      <c r="H43" s="570"/>
      <c r="I43" s="570"/>
      <c r="J43" s="570"/>
      <c r="K43" s="570"/>
      <c r="L43" s="571">
        <f>SUM(L44,L49,L66,)</f>
        <v>20616.11</v>
      </c>
      <c r="M43" s="571">
        <f t="shared" ref="M43:W43" si="17">SUM(M44,M49,M66,)</f>
        <v>26660.899999999998</v>
      </c>
      <c r="N43" s="571">
        <f t="shared" si="17"/>
        <v>11127.199999999999</v>
      </c>
      <c r="O43" s="571">
        <f t="shared" si="17"/>
        <v>21694</v>
      </c>
      <c r="P43" s="571">
        <f t="shared" si="17"/>
        <v>21694</v>
      </c>
      <c r="Q43" s="571">
        <f t="shared" si="17"/>
        <v>0</v>
      </c>
      <c r="R43" s="571">
        <f t="shared" si="17"/>
        <v>21492.899999999998</v>
      </c>
      <c r="S43" s="571">
        <f t="shared" si="17"/>
        <v>21492.899999999998</v>
      </c>
      <c r="T43" s="571">
        <f t="shared" si="17"/>
        <v>0</v>
      </c>
      <c r="U43" s="571">
        <f t="shared" si="17"/>
        <v>21709.599999999999</v>
      </c>
      <c r="V43" s="571">
        <f t="shared" si="17"/>
        <v>21709.599999999999</v>
      </c>
      <c r="W43" s="571">
        <f t="shared" si="17"/>
        <v>0</v>
      </c>
    </row>
    <row r="44" spans="1:167" s="564" customFormat="1" ht="16.5">
      <c r="A44" s="572" t="s">
        <v>57</v>
      </c>
      <c r="B44" s="573"/>
      <c r="C44" s="574"/>
      <c r="D44" s="575"/>
      <c r="E44" s="576"/>
      <c r="F44" s="576"/>
      <c r="G44" s="576"/>
      <c r="H44" s="576"/>
      <c r="I44" s="577"/>
      <c r="J44" s="578"/>
      <c r="K44" s="575"/>
      <c r="L44" s="579">
        <f>SUM(L45:L48)</f>
        <v>4906.3100000000004</v>
      </c>
      <c r="M44" s="579">
        <f t="shared" ref="M44:W44" si="18">SUM(M45:M48)</f>
        <v>4799.3</v>
      </c>
      <c r="N44" s="579">
        <f t="shared" si="18"/>
        <v>3214.5</v>
      </c>
      <c r="O44" s="579">
        <f t="shared" si="18"/>
        <v>5199.6000000000004</v>
      </c>
      <c r="P44" s="579">
        <f t="shared" si="18"/>
        <v>5199.6000000000004</v>
      </c>
      <c r="Q44" s="579">
        <f t="shared" si="18"/>
        <v>0</v>
      </c>
      <c r="R44" s="579">
        <f t="shared" si="18"/>
        <v>5151.3</v>
      </c>
      <c r="S44" s="579">
        <f t="shared" si="18"/>
        <v>5151.3</v>
      </c>
      <c r="T44" s="579">
        <f t="shared" si="18"/>
        <v>0</v>
      </c>
      <c r="U44" s="579">
        <f t="shared" si="18"/>
        <v>5203.3</v>
      </c>
      <c r="V44" s="579">
        <f t="shared" si="18"/>
        <v>5203.3</v>
      </c>
      <c r="W44" s="579">
        <f t="shared" si="18"/>
        <v>0</v>
      </c>
    </row>
    <row r="45" spans="1:167" s="2" customFormat="1" ht="37.5">
      <c r="A45" s="24" t="s">
        <v>10</v>
      </c>
      <c r="B45" s="229" t="s">
        <v>68</v>
      </c>
      <c r="C45" s="218"/>
      <c r="D45" s="226" t="s">
        <v>383</v>
      </c>
      <c r="E45" s="226" t="s">
        <v>92</v>
      </c>
      <c r="F45" s="226" t="s">
        <v>93</v>
      </c>
      <c r="G45" s="226" t="s">
        <v>114</v>
      </c>
      <c r="H45" s="250">
        <v>100</v>
      </c>
      <c r="I45" s="531" t="s">
        <v>982</v>
      </c>
      <c r="J45" s="537" t="s">
        <v>983</v>
      </c>
      <c r="K45" s="475" t="s">
        <v>984</v>
      </c>
      <c r="L45" s="35">
        <v>4380.8</v>
      </c>
      <c r="M45" s="35">
        <v>4334.7</v>
      </c>
      <c r="N45" s="35">
        <v>2896.1</v>
      </c>
      <c r="O45" s="25">
        <v>4791.6000000000004</v>
      </c>
      <c r="P45" s="25">
        <v>4791.6000000000004</v>
      </c>
      <c r="Q45" s="25"/>
      <c r="R45" s="25">
        <v>4747.2</v>
      </c>
      <c r="S45" s="25">
        <v>4747.2</v>
      </c>
      <c r="T45" s="25"/>
      <c r="U45" s="25">
        <v>4795</v>
      </c>
      <c r="V45" s="25">
        <v>4795</v>
      </c>
      <c r="W45" s="26"/>
    </row>
    <row r="46" spans="1:167" s="2" customFormat="1" ht="37.5">
      <c r="A46" s="24" t="s">
        <v>306</v>
      </c>
      <c r="B46" s="229" t="s">
        <v>985</v>
      </c>
      <c r="C46" s="218"/>
      <c r="D46" s="226" t="s">
        <v>383</v>
      </c>
      <c r="E46" s="226" t="s">
        <v>92</v>
      </c>
      <c r="F46" s="226" t="s">
        <v>93</v>
      </c>
      <c r="G46" s="226" t="s">
        <v>986</v>
      </c>
      <c r="H46" s="250">
        <v>100</v>
      </c>
      <c r="I46" s="535"/>
      <c r="J46" s="538"/>
      <c r="K46" s="541"/>
      <c r="L46" s="25">
        <v>80</v>
      </c>
      <c r="M46" s="25">
        <v>0</v>
      </c>
      <c r="N46" s="25">
        <v>0</v>
      </c>
      <c r="O46" s="25">
        <v>0</v>
      </c>
      <c r="P46" s="25">
        <v>0</v>
      </c>
      <c r="Q46" s="25"/>
      <c r="R46" s="25">
        <v>0</v>
      </c>
      <c r="S46" s="25">
        <v>0</v>
      </c>
      <c r="T46" s="25"/>
      <c r="U46" s="25">
        <v>0</v>
      </c>
      <c r="V46" s="25">
        <v>0</v>
      </c>
      <c r="W46" s="26"/>
    </row>
    <row r="47" spans="1:167" s="2" customFormat="1" ht="37.5">
      <c r="A47" s="24" t="s">
        <v>212</v>
      </c>
      <c r="B47" s="229" t="s">
        <v>69</v>
      </c>
      <c r="C47" s="374"/>
      <c r="D47" s="300" t="s">
        <v>349</v>
      </c>
      <c r="E47" s="226" t="s">
        <v>92</v>
      </c>
      <c r="F47" s="226" t="s">
        <v>93</v>
      </c>
      <c r="G47" s="226" t="s">
        <v>114</v>
      </c>
      <c r="H47" s="250">
        <v>200</v>
      </c>
      <c r="I47" s="535"/>
      <c r="J47" s="539"/>
      <c r="K47" s="542"/>
      <c r="L47" s="25">
        <v>445.5</v>
      </c>
      <c r="M47" s="25">
        <v>464.5</v>
      </c>
      <c r="N47" s="25">
        <v>318.39999999999998</v>
      </c>
      <c r="O47" s="25">
        <v>408</v>
      </c>
      <c r="P47" s="25">
        <v>408</v>
      </c>
      <c r="Q47" s="25"/>
      <c r="R47" s="25">
        <v>404.1</v>
      </c>
      <c r="S47" s="25">
        <v>404.1</v>
      </c>
      <c r="T47" s="25"/>
      <c r="U47" s="25">
        <v>408.3</v>
      </c>
      <c r="V47" s="25">
        <v>408.3</v>
      </c>
      <c r="W47" s="26"/>
    </row>
    <row r="48" spans="1:167" s="2" customFormat="1">
      <c r="A48" s="24" t="s">
        <v>213</v>
      </c>
      <c r="B48" s="229" t="s">
        <v>31</v>
      </c>
      <c r="C48" s="374"/>
      <c r="D48" s="300" t="s">
        <v>349</v>
      </c>
      <c r="E48" s="226" t="s">
        <v>92</v>
      </c>
      <c r="F48" s="226" t="s">
        <v>93</v>
      </c>
      <c r="G48" s="226" t="s">
        <v>114</v>
      </c>
      <c r="H48" s="250">
        <v>800</v>
      </c>
      <c r="I48" s="536"/>
      <c r="J48" s="540"/>
      <c r="K48" s="534"/>
      <c r="L48" s="142">
        <v>0.01</v>
      </c>
      <c r="M48" s="25">
        <v>0.1</v>
      </c>
      <c r="N48" s="25">
        <v>0</v>
      </c>
      <c r="O48" s="25">
        <v>0</v>
      </c>
      <c r="P48" s="25">
        <v>0</v>
      </c>
      <c r="Q48" s="25"/>
      <c r="R48" s="25">
        <v>0</v>
      </c>
      <c r="S48" s="25">
        <v>0</v>
      </c>
      <c r="T48" s="25"/>
      <c r="U48" s="25">
        <v>0</v>
      </c>
      <c r="V48" s="25">
        <v>0</v>
      </c>
      <c r="W48" s="26"/>
    </row>
    <row r="49" spans="1:23" s="564" customFormat="1" ht="16.5">
      <c r="A49" s="572" t="s">
        <v>88</v>
      </c>
      <c r="B49" s="573"/>
      <c r="C49" s="574"/>
      <c r="D49" s="575"/>
      <c r="E49" s="576"/>
      <c r="F49" s="576"/>
      <c r="G49" s="576"/>
      <c r="H49" s="576"/>
      <c r="I49" s="577"/>
      <c r="J49" s="578"/>
      <c r="K49" s="575"/>
      <c r="L49" s="579">
        <f>SUM(L50,L52,)</f>
        <v>15445.300000000001</v>
      </c>
      <c r="M49" s="579">
        <f t="shared" ref="M49:W49" si="19">SUM(M50,M52,)</f>
        <v>21660.3</v>
      </c>
      <c r="N49" s="579">
        <f t="shared" si="19"/>
        <v>7712.4</v>
      </c>
      <c r="O49" s="579">
        <f t="shared" si="19"/>
        <v>16482.400000000001</v>
      </c>
      <c r="P49" s="579">
        <f t="shared" si="19"/>
        <v>16482.400000000001</v>
      </c>
      <c r="Q49" s="579">
        <f t="shared" si="19"/>
        <v>0</v>
      </c>
      <c r="R49" s="579">
        <f t="shared" si="19"/>
        <v>16329.599999999999</v>
      </c>
      <c r="S49" s="579">
        <f t="shared" si="19"/>
        <v>16329.599999999999</v>
      </c>
      <c r="T49" s="579">
        <f t="shared" si="19"/>
        <v>0</v>
      </c>
      <c r="U49" s="579">
        <f t="shared" si="19"/>
        <v>16494.3</v>
      </c>
      <c r="V49" s="579">
        <f t="shared" si="19"/>
        <v>16494.3</v>
      </c>
      <c r="W49" s="579">
        <f t="shared" si="19"/>
        <v>0</v>
      </c>
    </row>
    <row r="50" spans="1:23" s="4" customFormat="1">
      <c r="A50" s="24" t="s">
        <v>12</v>
      </c>
      <c r="B50" s="229" t="s">
        <v>58</v>
      </c>
      <c r="C50" s="218"/>
      <c r="D50" s="226"/>
      <c r="E50" s="226"/>
      <c r="F50" s="226"/>
      <c r="G50" s="226"/>
      <c r="H50" s="250">
        <v>100</v>
      </c>
      <c r="I50" s="252"/>
      <c r="J50" s="218"/>
      <c r="K50" s="218"/>
      <c r="L50" s="25">
        <v>4232.6000000000004</v>
      </c>
      <c r="M50" s="25">
        <f t="shared" ref="M50:W50" si="20">SUM(M51:M51)</f>
        <v>6154.2</v>
      </c>
      <c r="N50" s="25">
        <f t="shared" si="20"/>
        <v>2939.9</v>
      </c>
      <c r="O50" s="25">
        <f t="shared" si="20"/>
        <v>7156.1</v>
      </c>
      <c r="P50" s="25">
        <f t="shared" si="20"/>
        <v>7156.1</v>
      </c>
      <c r="Q50" s="25">
        <f t="shared" si="20"/>
        <v>0</v>
      </c>
      <c r="R50" s="25">
        <f t="shared" si="20"/>
        <v>7089.8</v>
      </c>
      <c r="S50" s="25">
        <f t="shared" si="20"/>
        <v>7089.8</v>
      </c>
      <c r="T50" s="25">
        <f t="shared" si="20"/>
        <v>0</v>
      </c>
      <c r="U50" s="25">
        <f t="shared" si="20"/>
        <v>7161.3</v>
      </c>
      <c r="V50" s="25">
        <f t="shared" si="20"/>
        <v>7161.3</v>
      </c>
      <c r="W50" s="26">
        <f t="shared" si="20"/>
        <v>0</v>
      </c>
    </row>
    <row r="51" spans="1:23" s="4" customFormat="1" ht="93.75" customHeight="1">
      <c r="A51" s="24" t="s">
        <v>48</v>
      </c>
      <c r="B51" s="229" t="s">
        <v>987</v>
      </c>
      <c r="C51" s="229" t="s">
        <v>988</v>
      </c>
      <c r="D51" s="226" t="s">
        <v>393</v>
      </c>
      <c r="E51" s="226" t="s">
        <v>98</v>
      </c>
      <c r="F51" s="226" t="s">
        <v>98</v>
      </c>
      <c r="G51" s="226" t="s">
        <v>100</v>
      </c>
      <c r="H51" s="250">
        <v>100</v>
      </c>
      <c r="I51" s="207" t="s">
        <v>989</v>
      </c>
      <c r="J51" s="218" t="s">
        <v>990</v>
      </c>
      <c r="K51" s="218" t="s">
        <v>991</v>
      </c>
      <c r="L51" s="25">
        <v>4232.6000000000004</v>
      </c>
      <c r="M51" s="25">
        <v>6154.2</v>
      </c>
      <c r="N51" s="25">
        <v>2939.9</v>
      </c>
      <c r="O51" s="25">
        <v>7156.1</v>
      </c>
      <c r="P51" s="25">
        <v>7156.1</v>
      </c>
      <c r="Q51" s="25"/>
      <c r="R51" s="25">
        <v>7089.8</v>
      </c>
      <c r="S51" s="25">
        <v>7089.8</v>
      </c>
      <c r="T51" s="25"/>
      <c r="U51" s="25">
        <v>7161.3</v>
      </c>
      <c r="V51" s="25">
        <v>7161.3</v>
      </c>
      <c r="W51" s="26"/>
    </row>
    <row r="52" spans="1:23" s="4" customFormat="1" ht="37.5">
      <c r="A52" s="24" t="s">
        <v>13</v>
      </c>
      <c r="B52" s="229" t="s">
        <v>32</v>
      </c>
      <c r="C52" s="374"/>
      <c r="D52" s="16"/>
      <c r="E52" s="226"/>
      <c r="F52" s="226"/>
      <c r="G52" s="226"/>
      <c r="H52" s="250">
        <v>200</v>
      </c>
      <c r="I52" s="374"/>
      <c r="J52" s="374"/>
      <c r="K52" s="375"/>
      <c r="L52" s="25">
        <f t="shared" ref="L52:W52" si="21">SUM(L53:L65)</f>
        <v>11212.7</v>
      </c>
      <c r="M52" s="25">
        <f t="shared" si="21"/>
        <v>15506.099999999999</v>
      </c>
      <c r="N52" s="25">
        <f t="shared" si="21"/>
        <v>4772.5</v>
      </c>
      <c r="O52" s="25">
        <f t="shared" si="21"/>
        <v>9326.2999999999993</v>
      </c>
      <c r="P52" s="25">
        <f t="shared" si="21"/>
        <v>9326.2999999999993</v>
      </c>
      <c r="Q52" s="25">
        <f t="shared" si="21"/>
        <v>0</v>
      </c>
      <c r="R52" s="25">
        <f t="shared" si="21"/>
        <v>9239.7999999999993</v>
      </c>
      <c r="S52" s="25">
        <f t="shared" si="21"/>
        <v>9239.7999999999993</v>
      </c>
      <c r="T52" s="25">
        <f t="shared" si="21"/>
        <v>0</v>
      </c>
      <c r="U52" s="25">
        <f t="shared" si="21"/>
        <v>9332.9999999999982</v>
      </c>
      <c r="V52" s="25">
        <f t="shared" si="21"/>
        <v>9332.9999999999982</v>
      </c>
      <c r="W52" s="26">
        <f t="shared" si="21"/>
        <v>0</v>
      </c>
    </row>
    <row r="53" spans="1:23" s="4" customFormat="1" ht="131.25" customHeight="1">
      <c r="A53" s="24" t="s">
        <v>70</v>
      </c>
      <c r="B53" s="229" t="s">
        <v>992</v>
      </c>
      <c r="C53" s="218" t="s">
        <v>117</v>
      </c>
      <c r="D53" s="226" t="s">
        <v>403</v>
      </c>
      <c r="E53" s="226" t="s">
        <v>95</v>
      </c>
      <c r="F53" s="226" t="s">
        <v>80</v>
      </c>
      <c r="G53" s="226" t="s">
        <v>184</v>
      </c>
      <c r="H53" s="250">
        <v>200</v>
      </c>
      <c r="I53" s="587"/>
      <c r="J53" s="588"/>
      <c r="K53" s="588"/>
      <c r="L53" s="25">
        <f>2444.4-34.7</f>
        <v>2409.7000000000003</v>
      </c>
      <c r="M53" s="25">
        <v>2330.1999999999998</v>
      </c>
      <c r="N53" s="25">
        <v>108</v>
      </c>
      <c r="O53" s="25">
        <v>2068.5</v>
      </c>
      <c r="P53" s="25">
        <v>2068.5</v>
      </c>
      <c r="Q53" s="25"/>
      <c r="R53" s="25">
        <v>2049.3000000000002</v>
      </c>
      <c r="S53" s="25">
        <v>2049.3000000000002</v>
      </c>
      <c r="T53" s="25"/>
      <c r="U53" s="25">
        <v>2070</v>
      </c>
      <c r="V53" s="25">
        <v>2070</v>
      </c>
      <c r="W53" s="26"/>
    </row>
    <row r="54" spans="1:23" s="2" customFormat="1" ht="168.75">
      <c r="A54" s="24" t="s">
        <v>441</v>
      </c>
      <c r="B54" s="229" t="s">
        <v>993</v>
      </c>
      <c r="C54" s="218" t="s">
        <v>274</v>
      </c>
      <c r="D54" s="226" t="s">
        <v>394</v>
      </c>
      <c r="E54" s="226" t="s">
        <v>93</v>
      </c>
      <c r="F54" s="226" t="s">
        <v>97</v>
      </c>
      <c r="G54" s="226" t="s">
        <v>185</v>
      </c>
      <c r="H54" s="250">
        <v>200</v>
      </c>
      <c r="I54" s="236" t="s">
        <v>994</v>
      </c>
      <c r="J54" s="218" t="s">
        <v>995</v>
      </c>
      <c r="K54" s="218" t="s">
        <v>996</v>
      </c>
      <c r="L54" s="25">
        <v>2022.6</v>
      </c>
      <c r="M54" s="25">
        <v>1747.2</v>
      </c>
      <c r="N54" s="25">
        <v>1310.3</v>
      </c>
      <c r="O54" s="25">
        <v>1564.9</v>
      </c>
      <c r="P54" s="25">
        <v>1564.9</v>
      </c>
      <c r="Q54" s="25"/>
      <c r="R54" s="25">
        <v>1550.4</v>
      </c>
      <c r="S54" s="25">
        <v>1550.4</v>
      </c>
      <c r="T54" s="25"/>
      <c r="U54" s="25">
        <v>1566</v>
      </c>
      <c r="V54" s="25">
        <v>1566</v>
      </c>
      <c r="W54" s="26"/>
    </row>
    <row r="55" spans="1:23" s="2" customFormat="1" ht="168.75">
      <c r="A55" s="24" t="s">
        <v>266</v>
      </c>
      <c r="B55" s="229" t="s">
        <v>993</v>
      </c>
      <c r="C55" s="218" t="s">
        <v>274</v>
      </c>
      <c r="D55" s="226" t="s">
        <v>394</v>
      </c>
      <c r="E55" s="226" t="s">
        <v>93</v>
      </c>
      <c r="F55" s="226" t="s">
        <v>97</v>
      </c>
      <c r="G55" s="226" t="s">
        <v>108</v>
      </c>
      <c r="H55" s="250">
        <v>200</v>
      </c>
      <c r="I55" s="531" t="s">
        <v>997</v>
      </c>
      <c r="J55" s="218" t="s">
        <v>998</v>
      </c>
      <c r="K55" s="218" t="s">
        <v>996</v>
      </c>
      <c r="L55" s="25">
        <v>0</v>
      </c>
      <c r="M55" s="25">
        <v>958.4</v>
      </c>
      <c r="N55" s="25">
        <v>0</v>
      </c>
      <c r="O55" s="25"/>
      <c r="P55" s="25"/>
      <c r="Q55" s="25"/>
      <c r="R55" s="25"/>
      <c r="S55" s="25"/>
      <c r="T55" s="25"/>
      <c r="U55" s="25"/>
      <c r="V55" s="25"/>
      <c r="W55" s="26"/>
    </row>
    <row r="56" spans="1:23" s="2" customFormat="1" ht="281.25">
      <c r="A56" s="24" t="s">
        <v>268</v>
      </c>
      <c r="B56" s="229" t="s">
        <v>993</v>
      </c>
      <c r="C56" s="218" t="s">
        <v>999</v>
      </c>
      <c r="D56" s="226" t="s">
        <v>394</v>
      </c>
      <c r="E56" s="226" t="s">
        <v>93</v>
      </c>
      <c r="F56" s="226" t="s">
        <v>97</v>
      </c>
      <c r="G56" s="226" t="s">
        <v>123</v>
      </c>
      <c r="H56" s="250">
        <v>200</v>
      </c>
      <c r="I56" s="542"/>
      <c r="J56" s="218"/>
      <c r="K56" s="218"/>
      <c r="L56" s="25">
        <v>596.79999999999995</v>
      </c>
      <c r="M56" s="25">
        <v>0</v>
      </c>
      <c r="N56" s="25">
        <v>0</v>
      </c>
      <c r="O56" s="25"/>
      <c r="P56" s="25"/>
      <c r="Q56" s="25"/>
      <c r="R56" s="25"/>
      <c r="S56" s="25"/>
      <c r="T56" s="25"/>
      <c r="U56" s="25"/>
      <c r="V56" s="25"/>
      <c r="W56" s="26"/>
    </row>
    <row r="57" spans="1:23" s="2" customFormat="1" ht="93.75">
      <c r="A57" s="24" t="s">
        <v>269</v>
      </c>
      <c r="B57" s="229" t="s">
        <v>993</v>
      </c>
      <c r="C57" s="218" t="s">
        <v>707</v>
      </c>
      <c r="D57" s="226" t="s">
        <v>394</v>
      </c>
      <c r="E57" s="226" t="s">
        <v>93</v>
      </c>
      <c r="F57" s="226" t="s">
        <v>97</v>
      </c>
      <c r="G57" s="226" t="s">
        <v>162</v>
      </c>
      <c r="H57" s="250">
        <v>200</v>
      </c>
      <c r="I57" s="534"/>
      <c r="J57" s="218"/>
      <c r="K57" s="218"/>
      <c r="L57" s="25">
        <v>4.8</v>
      </c>
      <c r="M57" s="25">
        <v>2</v>
      </c>
      <c r="N57" s="25">
        <v>2</v>
      </c>
      <c r="O57" s="25">
        <v>101.6</v>
      </c>
      <c r="P57" s="25">
        <v>101.6</v>
      </c>
      <c r="Q57" s="25"/>
      <c r="R57" s="25">
        <v>100.7</v>
      </c>
      <c r="S57" s="25">
        <v>100.7</v>
      </c>
      <c r="T57" s="25"/>
      <c r="U57" s="25">
        <v>101.7</v>
      </c>
      <c r="V57" s="25">
        <v>101.7</v>
      </c>
      <c r="W57" s="26"/>
    </row>
    <row r="58" spans="1:23" s="2" customFormat="1" ht="56.25">
      <c r="A58" s="24" t="s">
        <v>270</v>
      </c>
      <c r="B58" s="229" t="s">
        <v>1000</v>
      </c>
      <c r="C58" s="218" t="s">
        <v>120</v>
      </c>
      <c r="D58" s="226" t="s">
        <v>395</v>
      </c>
      <c r="E58" s="226" t="s">
        <v>98</v>
      </c>
      <c r="F58" s="226" t="s">
        <v>95</v>
      </c>
      <c r="G58" s="226" t="s">
        <v>186</v>
      </c>
      <c r="H58" s="250">
        <v>200</v>
      </c>
      <c r="I58" s="531" t="s">
        <v>1001</v>
      </c>
      <c r="J58" s="475" t="s">
        <v>1002</v>
      </c>
      <c r="K58" s="475" t="s">
        <v>1003</v>
      </c>
      <c r="L58" s="25">
        <v>5046.6000000000004</v>
      </c>
      <c r="M58" s="25">
        <v>5318.8</v>
      </c>
      <c r="N58" s="25">
        <v>2590.5</v>
      </c>
      <c r="O58" s="25">
        <v>5016.3999999999996</v>
      </c>
      <c r="P58" s="25">
        <v>5016.3999999999996</v>
      </c>
      <c r="Q58" s="25"/>
      <c r="R58" s="25">
        <v>4969.8999999999996</v>
      </c>
      <c r="S58" s="25">
        <v>4969.8999999999996</v>
      </c>
      <c r="T58" s="25"/>
      <c r="U58" s="25">
        <v>5020.1000000000004</v>
      </c>
      <c r="V58" s="25">
        <v>5020.1000000000004</v>
      </c>
      <c r="W58" s="26"/>
    </row>
    <row r="59" spans="1:23" s="2" customFormat="1" ht="93.75">
      <c r="A59" s="24" t="s">
        <v>282</v>
      </c>
      <c r="B59" s="229" t="s">
        <v>1004</v>
      </c>
      <c r="C59" s="218" t="s">
        <v>1005</v>
      </c>
      <c r="D59" s="226" t="s">
        <v>395</v>
      </c>
      <c r="E59" s="226" t="s">
        <v>98</v>
      </c>
      <c r="F59" s="226" t="s">
        <v>95</v>
      </c>
      <c r="G59" s="226" t="s">
        <v>225</v>
      </c>
      <c r="H59" s="250">
        <v>200</v>
      </c>
      <c r="I59" s="532"/>
      <c r="J59" s="542"/>
      <c r="K59" s="542"/>
      <c r="L59" s="25">
        <v>150.1</v>
      </c>
      <c r="M59" s="25">
        <v>142.6</v>
      </c>
      <c r="N59" s="25">
        <v>142.6</v>
      </c>
      <c r="O59" s="25">
        <v>125.2</v>
      </c>
      <c r="P59" s="25">
        <v>125.2</v>
      </c>
      <c r="Q59" s="25"/>
      <c r="R59" s="25">
        <v>124</v>
      </c>
      <c r="S59" s="25">
        <v>124</v>
      </c>
      <c r="T59" s="25"/>
      <c r="U59" s="25">
        <v>125.3</v>
      </c>
      <c r="V59" s="25">
        <v>125.3</v>
      </c>
      <c r="W59" s="26"/>
    </row>
    <row r="60" spans="1:23" s="2" customFormat="1" ht="93.75">
      <c r="A60" s="24" t="s">
        <v>283</v>
      </c>
      <c r="B60" s="229" t="s">
        <v>1006</v>
      </c>
      <c r="C60" s="218" t="s">
        <v>1005</v>
      </c>
      <c r="D60" s="226" t="s">
        <v>395</v>
      </c>
      <c r="E60" s="226" t="s">
        <v>98</v>
      </c>
      <c r="F60" s="226" t="s">
        <v>95</v>
      </c>
      <c r="G60" s="226" t="s">
        <v>126</v>
      </c>
      <c r="H60" s="250">
        <v>200</v>
      </c>
      <c r="I60" s="532"/>
      <c r="J60" s="534"/>
      <c r="K60" s="534"/>
      <c r="L60" s="25">
        <v>100.3</v>
      </c>
      <c r="M60" s="25">
        <v>156.30000000000001</v>
      </c>
      <c r="N60" s="25">
        <v>148.9</v>
      </c>
      <c r="O60" s="25">
        <v>87.8</v>
      </c>
      <c r="P60" s="25">
        <v>87.8</v>
      </c>
      <c r="Q60" s="25"/>
      <c r="R60" s="25">
        <v>87</v>
      </c>
      <c r="S60" s="25">
        <v>87</v>
      </c>
      <c r="T60" s="25"/>
      <c r="U60" s="25">
        <v>87.9</v>
      </c>
      <c r="V60" s="25">
        <v>87.9</v>
      </c>
      <c r="W60" s="26"/>
    </row>
    <row r="61" spans="1:23" s="2" customFormat="1" ht="93.75">
      <c r="A61" s="24" t="s">
        <v>278</v>
      </c>
      <c r="B61" s="229" t="s">
        <v>1007</v>
      </c>
      <c r="C61" s="218" t="s">
        <v>1005</v>
      </c>
      <c r="D61" s="226" t="s">
        <v>395</v>
      </c>
      <c r="E61" s="226" t="s">
        <v>98</v>
      </c>
      <c r="F61" s="226" t="s">
        <v>95</v>
      </c>
      <c r="G61" s="226" t="s">
        <v>178</v>
      </c>
      <c r="H61" s="250">
        <v>200</v>
      </c>
      <c r="I61" s="532"/>
      <c r="J61" s="218"/>
      <c r="K61" s="218"/>
      <c r="L61" s="25">
        <v>60.2</v>
      </c>
      <c r="M61" s="25">
        <v>46.7</v>
      </c>
      <c r="N61" s="25">
        <v>46.7</v>
      </c>
      <c r="O61" s="25">
        <v>41</v>
      </c>
      <c r="P61" s="25">
        <v>41</v>
      </c>
      <c r="Q61" s="25"/>
      <c r="R61" s="25">
        <v>40.6</v>
      </c>
      <c r="S61" s="25">
        <v>40.6</v>
      </c>
      <c r="T61" s="25"/>
      <c r="U61" s="25">
        <v>41</v>
      </c>
      <c r="V61" s="25">
        <v>41</v>
      </c>
      <c r="W61" s="26"/>
    </row>
    <row r="62" spans="1:23" s="2" customFormat="1" ht="56.25">
      <c r="A62" s="24" t="s">
        <v>287</v>
      </c>
      <c r="B62" s="229" t="s">
        <v>1008</v>
      </c>
      <c r="C62" s="218" t="s">
        <v>276</v>
      </c>
      <c r="D62" s="226" t="s">
        <v>395</v>
      </c>
      <c r="E62" s="226" t="s">
        <v>98</v>
      </c>
      <c r="F62" s="226" t="s">
        <v>95</v>
      </c>
      <c r="G62" s="226" t="s">
        <v>194</v>
      </c>
      <c r="H62" s="250">
        <v>200</v>
      </c>
      <c r="I62" s="532"/>
      <c r="J62" s="218"/>
      <c r="K62" s="218"/>
      <c r="L62" s="25"/>
      <c r="M62" s="25">
        <v>4250</v>
      </c>
      <c r="N62" s="25">
        <v>0</v>
      </c>
      <c r="O62" s="25"/>
      <c r="P62" s="25"/>
      <c r="Q62" s="25"/>
      <c r="R62" s="25"/>
      <c r="S62" s="25"/>
      <c r="T62" s="25"/>
      <c r="U62" s="25"/>
      <c r="V62" s="25"/>
      <c r="W62" s="26"/>
    </row>
    <row r="63" spans="1:23" s="2" customFormat="1" ht="56.25">
      <c r="A63" s="24" t="s">
        <v>288</v>
      </c>
      <c r="B63" s="229" t="s">
        <v>1009</v>
      </c>
      <c r="C63" s="218" t="s">
        <v>276</v>
      </c>
      <c r="D63" s="226" t="s">
        <v>395</v>
      </c>
      <c r="E63" s="226" t="s">
        <v>98</v>
      </c>
      <c r="F63" s="226" t="s">
        <v>95</v>
      </c>
      <c r="G63" s="226" t="s">
        <v>1010</v>
      </c>
      <c r="H63" s="250">
        <v>200</v>
      </c>
      <c r="I63" s="532"/>
      <c r="J63" s="218"/>
      <c r="K63" s="218"/>
      <c r="L63" s="25">
        <v>198.2</v>
      </c>
      <c r="M63" s="25">
        <v>0</v>
      </c>
      <c r="N63" s="25">
        <v>0</v>
      </c>
      <c r="O63" s="25"/>
      <c r="P63" s="25"/>
      <c r="Q63" s="25"/>
      <c r="R63" s="25"/>
      <c r="S63" s="25"/>
      <c r="T63" s="25"/>
      <c r="U63" s="25"/>
      <c r="V63" s="25"/>
      <c r="W63" s="26"/>
    </row>
    <row r="64" spans="1:23" s="2" customFormat="1" ht="37.5">
      <c r="A64" s="24" t="s">
        <v>298</v>
      </c>
      <c r="B64" s="229" t="s">
        <v>137</v>
      </c>
      <c r="C64" s="218" t="s">
        <v>276</v>
      </c>
      <c r="D64" s="226" t="s">
        <v>395</v>
      </c>
      <c r="E64" s="226" t="s">
        <v>98</v>
      </c>
      <c r="F64" s="226" t="s">
        <v>95</v>
      </c>
      <c r="G64" s="226" t="s">
        <v>94</v>
      </c>
      <c r="H64" s="250">
        <v>200</v>
      </c>
      <c r="I64" s="532"/>
      <c r="J64" s="218"/>
      <c r="K64" s="218"/>
      <c r="L64" s="25">
        <v>200</v>
      </c>
      <c r="M64" s="25">
        <v>0</v>
      </c>
      <c r="N64" s="25">
        <v>0</v>
      </c>
      <c r="O64" s="25"/>
      <c r="P64" s="25"/>
      <c r="Q64" s="25"/>
      <c r="R64" s="25"/>
      <c r="S64" s="25"/>
      <c r="T64" s="25"/>
      <c r="U64" s="25"/>
      <c r="V64" s="25"/>
      <c r="W64" s="26"/>
    </row>
    <row r="65" spans="1:23" s="2" customFormat="1" ht="112.5">
      <c r="A65" s="24" t="s">
        <v>289</v>
      </c>
      <c r="B65" s="229" t="s">
        <v>1011</v>
      </c>
      <c r="C65" s="218" t="s">
        <v>988</v>
      </c>
      <c r="D65" s="226" t="s">
        <v>393</v>
      </c>
      <c r="E65" s="226" t="s">
        <v>98</v>
      </c>
      <c r="F65" s="226" t="s">
        <v>98</v>
      </c>
      <c r="G65" s="226" t="s">
        <v>100</v>
      </c>
      <c r="H65" s="250">
        <v>200</v>
      </c>
      <c r="I65" s="533"/>
      <c r="J65" s="218"/>
      <c r="K65" s="218"/>
      <c r="L65" s="25">
        <v>423.4</v>
      </c>
      <c r="M65" s="25">
        <v>553.9</v>
      </c>
      <c r="N65" s="25">
        <v>423.5</v>
      </c>
      <c r="O65" s="25">
        <v>320.89999999999998</v>
      </c>
      <c r="P65" s="25">
        <v>320.89999999999998</v>
      </c>
      <c r="Q65" s="25"/>
      <c r="R65" s="25">
        <v>317.89999999999998</v>
      </c>
      <c r="S65" s="25">
        <v>317.89999999999998</v>
      </c>
      <c r="T65" s="25"/>
      <c r="U65" s="25">
        <v>321</v>
      </c>
      <c r="V65" s="25">
        <v>321</v>
      </c>
      <c r="W65" s="26"/>
    </row>
    <row r="66" spans="1:23" s="564" customFormat="1" ht="16.5">
      <c r="A66" s="572" t="s">
        <v>73</v>
      </c>
      <c r="B66" s="573"/>
      <c r="C66" s="574"/>
      <c r="D66" s="575"/>
      <c r="E66" s="576"/>
      <c r="F66" s="576"/>
      <c r="G66" s="576"/>
      <c r="H66" s="576"/>
      <c r="I66" s="577"/>
      <c r="J66" s="578"/>
      <c r="K66" s="575"/>
      <c r="L66" s="579">
        <f>SUM(L67)</f>
        <v>264.5</v>
      </c>
      <c r="M66" s="579">
        <f t="shared" ref="M66:W66" si="22">SUM(M67)</f>
        <v>201.3</v>
      </c>
      <c r="N66" s="579">
        <f t="shared" si="22"/>
        <v>200.3</v>
      </c>
      <c r="O66" s="579">
        <f t="shared" si="22"/>
        <v>12</v>
      </c>
      <c r="P66" s="579">
        <f t="shared" si="22"/>
        <v>12</v>
      </c>
      <c r="Q66" s="579">
        <f t="shared" si="22"/>
        <v>0</v>
      </c>
      <c r="R66" s="579">
        <f t="shared" si="22"/>
        <v>12</v>
      </c>
      <c r="S66" s="579">
        <f t="shared" si="22"/>
        <v>12</v>
      </c>
      <c r="T66" s="579">
        <f t="shared" si="22"/>
        <v>0</v>
      </c>
      <c r="U66" s="579">
        <f t="shared" si="22"/>
        <v>12</v>
      </c>
      <c r="V66" s="579">
        <f t="shared" si="22"/>
        <v>12</v>
      </c>
      <c r="W66" s="579">
        <f t="shared" si="22"/>
        <v>0</v>
      </c>
    </row>
    <row r="67" spans="1:23" s="4" customFormat="1" ht="37.5">
      <c r="A67" s="24" t="s">
        <v>21</v>
      </c>
      <c r="B67" s="229" t="s">
        <v>89</v>
      </c>
      <c r="C67" s="374"/>
      <c r="D67" s="375"/>
      <c r="E67" s="250"/>
      <c r="F67" s="250"/>
      <c r="G67" s="250"/>
      <c r="H67" s="250">
        <v>200</v>
      </c>
      <c r="I67" s="374"/>
      <c r="J67" s="374"/>
      <c r="K67" s="375"/>
      <c r="L67" s="25">
        <v>264.5</v>
      </c>
      <c r="M67" s="79">
        <v>201.3</v>
      </c>
      <c r="N67" s="25">
        <v>200.3</v>
      </c>
      <c r="O67" s="25">
        <f t="shared" ref="O67:W67" si="23">SUM(O69:O69)</f>
        <v>12</v>
      </c>
      <c r="P67" s="25">
        <f t="shared" si="23"/>
        <v>12</v>
      </c>
      <c r="Q67" s="25">
        <f t="shared" si="23"/>
        <v>0</v>
      </c>
      <c r="R67" s="25">
        <f t="shared" si="23"/>
        <v>12</v>
      </c>
      <c r="S67" s="25">
        <f t="shared" si="23"/>
        <v>12</v>
      </c>
      <c r="T67" s="25">
        <f t="shared" si="23"/>
        <v>0</v>
      </c>
      <c r="U67" s="25">
        <f t="shared" si="23"/>
        <v>12</v>
      </c>
      <c r="V67" s="25">
        <f t="shared" si="23"/>
        <v>12</v>
      </c>
      <c r="W67" s="26">
        <f t="shared" si="23"/>
        <v>0</v>
      </c>
    </row>
    <row r="68" spans="1:23" s="2" customFormat="1">
      <c r="A68" s="24" t="s">
        <v>42</v>
      </c>
      <c r="B68" s="229"/>
      <c r="C68" s="374"/>
      <c r="D68" s="300" t="s">
        <v>384</v>
      </c>
      <c r="E68" s="226" t="s">
        <v>92</v>
      </c>
      <c r="F68" s="226" t="s">
        <v>83</v>
      </c>
      <c r="G68" s="226" t="s">
        <v>124</v>
      </c>
      <c r="H68" s="94">
        <v>200</v>
      </c>
      <c r="I68" s="374"/>
      <c r="J68" s="374"/>
      <c r="K68" s="375"/>
      <c r="L68" s="35">
        <v>253.5</v>
      </c>
      <c r="M68" s="25">
        <v>189.9</v>
      </c>
      <c r="N68" s="25">
        <v>189.9</v>
      </c>
      <c r="O68" s="25"/>
      <c r="P68" s="25"/>
      <c r="Q68" s="25"/>
      <c r="R68" s="25"/>
      <c r="S68" s="25"/>
      <c r="T68" s="25"/>
      <c r="U68" s="25"/>
      <c r="V68" s="25"/>
      <c r="W68" s="26"/>
    </row>
    <row r="69" spans="1:23" s="2" customFormat="1" ht="75">
      <c r="A69" s="24" t="s">
        <v>74</v>
      </c>
      <c r="B69" s="229" t="s">
        <v>89</v>
      </c>
      <c r="C69" s="102" t="s">
        <v>1013</v>
      </c>
      <c r="D69" s="300" t="s">
        <v>404</v>
      </c>
      <c r="E69" s="226" t="s">
        <v>92</v>
      </c>
      <c r="F69" s="226" t="s">
        <v>83</v>
      </c>
      <c r="G69" s="226" t="s">
        <v>94</v>
      </c>
      <c r="H69" s="250">
        <v>200</v>
      </c>
      <c r="I69" s="374"/>
      <c r="J69" s="374"/>
      <c r="K69" s="375"/>
      <c r="L69" s="25">
        <v>11</v>
      </c>
      <c r="M69" s="25">
        <v>11.4</v>
      </c>
      <c r="N69" s="25">
        <v>10.4</v>
      </c>
      <c r="O69" s="25">
        <v>12</v>
      </c>
      <c r="P69" s="25">
        <v>12</v>
      </c>
      <c r="Q69" s="25"/>
      <c r="R69" s="25">
        <v>12</v>
      </c>
      <c r="S69" s="25">
        <v>12</v>
      </c>
      <c r="T69" s="25"/>
      <c r="U69" s="25">
        <v>12</v>
      </c>
      <c r="V69" s="25">
        <v>12</v>
      </c>
      <c r="W69" s="26"/>
    </row>
    <row r="70" spans="1:23" s="3" customFormat="1" ht="56.25">
      <c r="A70" s="633" t="s">
        <v>102</v>
      </c>
      <c r="B70" s="396" t="s">
        <v>103</v>
      </c>
      <c r="C70" s="49"/>
      <c r="D70" s="645"/>
      <c r="E70" s="645"/>
      <c r="F70" s="645"/>
      <c r="G70" s="645"/>
      <c r="H70" s="645"/>
      <c r="I70" s="49"/>
      <c r="J70" s="49"/>
      <c r="K70" s="49" t="s">
        <v>62</v>
      </c>
      <c r="L70" s="50">
        <f>SUM(L71,)</f>
        <v>34097.299999999996</v>
      </c>
      <c r="M70" s="50">
        <f t="shared" ref="M70:W70" si="24">SUM(M71,)</f>
        <v>45509.9</v>
      </c>
      <c r="N70" s="50">
        <f t="shared" si="24"/>
        <v>26998.499999999996</v>
      </c>
      <c r="O70" s="50">
        <f t="shared" si="24"/>
        <v>35521.800000000003</v>
      </c>
      <c r="P70" s="50">
        <f t="shared" si="24"/>
        <v>35521.800000000003</v>
      </c>
      <c r="Q70" s="50">
        <f t="shared" si="24"/>
        <v>0</v>
      </c>
      <c r="R70" s="50">
        <f t="shared" si="24"/>
        <v>35191.699999999997</v>
      </c>
      <c r="S70" s="50">
        <f t="shared" si="24"/>
        <v>35191.699999999997</v>
      </c>
      <c r="T70" s="50">
        <f t="shared" si="24"/>
        <v>0</v>
      </c>
      <c r="U70" s="50">
        <f t="shared" si="24"/>
        <v>35546.400000000001</v>
      </c>
      <c r="V70" s="50">
        <f t="shared" si="24"/>
        <v>35546.400000000001</v>
      </c>
      <c r="W70" s="50">
        <f t="shared" si="24"/>
        <v>0</v>
      </c>
    </row>
    <row r="71" spans="1:23" s="3" customFormat="1">
      <c r="A71" s="630" t="s">
        <v>9</v>
      </c>
      <c r="B71" s="421" t="s">
        <v>67</v>
      </c>
      <c r="C71" s="421"/>
      <c r="D71" s="421"/>
      <c r="E71" s="421"/>
      <c r="F71" s="421"/>
      <c r="G71" s="421"/>
      <c r="H71" s="421"/>
      <c r="I71" s="421"/>
      <c r="J71" s="421"/>
      <c r="K71" s="421"/>
      <c r="L71" s="20">
        <f>SUM(L72,L78,)</f>
        <v>34097.299999999996</v>
      </c>
      <c r="M71" s="20">
        <f t="shared" ref="M71:W71" si="25">SUM(M72,M78,)</f>
        <v>45509.9</v>
      </c>
      <c r="N71" s="20">
        <f t="shared" si="25"/>
        <v>26998.499999999996</v>
      </c>
      <c r="O71" s="20">
        <f t="shared" si="25"/>
        <v>35521.800000000003</v>
      </c>
      <c r="P71" s="20">
        <f t="shared" si="25"/>
        <v>35521.800000000003</v>
      </c>
      <c r="Q71" s="20">
        <f t="shared" si="25"/>
        <v>0</v>
      </c>
      <c r="R71" s="20">
        <f t="shared" si="25"/>
        <v>35191.699999999997</v>
      </c>
      <c r="S71" s="20">
        <f t="shared" si="25"/>
        <v>35191.699999999997</v>
      </c>
      <c r="T71" s="20">
        <f t="shared" si="25"/>
        <v>0</v>
      </c>
      <c r="U71" s="20">
        <f t="shared" si="25"/>
        <v>35546.400000000001</v>
      </c>
      <c r="V71" s="20">
        <f t="shared" si="25"/>
        <v>35546.400000000001</v>
      </c>
      <c r="W71" s="20">
        <f t="shared" si="25"/>
        <v>0</v>
      </c>
    </row>
    <row r="72" spans="1:23" s="2" customFormat="1">
      <c r="A72" s="133" t="s">
        <v>57</v>
      </c>
      <c r="B72" s="229"/>
      <c r="C72" s="41"/>
      <c r="D72" s="218"/>
      <c r="E72" s="250"/>
      <c r="F72" s="250"/>
      <c r="G72" s="250"/>
      <c r="H72" s="250"/>
      <c r="I72" s="252"/>
      <c r="J72" s="41"/>
      <c r="K72" s="218"/>
      <c r="L72" s="22">
        <f t="shared" ref="L72:W72" si="26">SUM(L73:L77)</f>
        <v>6138.2000000000007</v>
      </c>
      <c r="M72" s="22">
        <f t="shared" si="26"/>
        <v>6385.8</v>
      </c>
      <c r="N72" s="22">
        <f t="shared" si="26"/>
        <v>4375.2999999999993</v>
      </c>
      <c r="O72" s="22">
        <f t="shared" si="26"/>
        <v>6344</v>
      </c>
      <c r="P72" s="22">
        <f t="shared" si="26"/>
        <v>6344</v>
      </c>
      <c r="Q72" s="22">
        <f t="shared" si="26"/>
        <v>0</v>
      </c>
      <c r="R72" s="22">
        <f t="shared" si="26"/>
        <v>6285.2</v>
      </c>
      <c r="S72" s="22">
        <f t="shared" si="26"/>
        <v>6285.2</v>
      </c>
      <c r="T72" s="22">
        <f t="shared" si="26"/>
        <v>0</v>
      </c>
      <c r="U72" s="22">
        <f t="shared" si="26"/>
        <v>6348.6</v>
      </c>
      <c r="V72" s="22">
        <f t="shared" si="26"/>
        <v>6348.6</v>
      </c>
      <c r="W72" s="22">
        <f t="shared" si="26"/>
        <v>0</v>
      </c>
    </row>
    <row r="73" spans="1:23" s="2" customFormat="1" ht="37.5">
      <c r="A73" s="225" t="s">
        <v>10</v>
      </c>
      <c r="B73" s="229" t="s">
        <v>68</v>
      </c>
      <c r="C73" s="218"/>
      <c r="D73" s="226" t="s">
        <v>383</v>
      </c>
      <c r="E73" s="226" t="s">
        <v>92</v>
      </c>
      <c r="F73" s="226" t="s">
        <v>93</v>
      </c>
      <c r="G73" s="226" t="s">
        <v>114</v>
      </c>
      <c r="H73" s="250">
        <v>100</v>
      </c>
      <c r="I73" s="531" t="s">
        <v>199</v>
      </c>
      <c r="J73" s="475" t="s">
        <v>200</v>
      </c>
      <c r="K73" s="218"/>
      <c r="L73" s="25">
        <v>3931.3</v>
      </c>
      <c r="M73" s="25">
        <v>3979.9</v>
      </c>
      <c r="N73" s="25">
        <v>2707.9</v>
      </c>
      <c r="O73" s="25">
        <f>P73+Q73</f>
        <v>4418.1000000000004</v>
      </c>
      <c r="P73" s="25">
        <v>4418.1000000000004</v>
      </c>
      <c r="Q73" s="25"/>
      <c r="R73" s="25">
        <f>S73+T73</f>
        <v>4378</v>
      </c>
      <c r="S73" s="25">
        <v>4378</v>
      </c>
      <c r="T73" s="25"/>
      <c r="U73" s="25">
        <f>V73+W73</f>
        <v>4422</v>
      </c>
      <c r="V73" s="25">
        <v>4422</v>
      </c>
      <c r="W73" s="25"/>
    </row>
    <row r="74" spans="1:23" s="2" customFormat="1" ht="37.5">
      <c r="A74" s="225" t="s">
        <v>326</v>
      </c>
      <c r="B74" s="229" t="s">
        <v>1015</v>
      </c>
      <c r="C74" s="208"/>
      <c r="D74" s="226" t="s">
        <v>383</v>
      </c>
      <c r="E74" s="226" t="s">
        <v>92</v>
      </c>
      <c r="F74" s="226" t="s">
        <v>93</v>
      </c>
      <c r="G74" s="226" t="s">
        <v>986</v>
      </c>
      <c r="H74" s="250">
        <v>100</v>
      </c>
      <c r="I74" s="535"/>
      <c r="J74" s="541"/>
      <c r="K74" s="218"/>
      <c r="L74" s="25">
        <v>80</v>
      </c>
      <c r="M74" s="25"/>
      <c r="N74" s="25"/>
      <c r="O74" s="25">
        <v>0</v>
      </c>
      <c r="P74" s="25"/>
      <c r="Q74" s="25"/>
      <c r="R74" s="25">
        <v>0</v>
      </c>
      <c r="S74" s="25"/>
      <c r="T74" s="25"/>
      <c r="U74" s="25">
        <v>0</v>
      </c>
      <c r="V74" s="25"/>
      <c r="W74" s="25"/>
    </row>
    <row r="75" spans="1:23" s="2" customFormat="1" ht="37.5">
      <c r="A75" s="225" t="s">
        <v>11</v>
      </c>
      <c r="B75" s="229" t="s">
        <v>68</v>
      </c>
      <c r="C75" s="255"/>
      <c r="D75" s="226" t="s">
        <v>349</v>
      </c>
      <c r="E75" s="226" t="s">
        <v>92</v>
      </c>
      <c r="F75" s="226" t="s">
        <v>93</v>
      </c>
      <c r="G75" s="226" t="s">
        <v>114</v>
      </c>
      <c r="H75" s="250">
        <v>100</v>
      </c>
      <c r="I75" s="535"/>
      <c r="J75" s="541"/>
      <c r="K75" s="218"/>
      <c r="L75" s="25">
        <v>1212.4000000000001</v>
      </c>
      <c r="M75" s="25">
        <v>1194.4000000000001</v>
      </c>
      <c r="N75" s="25">
        <v>734.3</v>
      </c>
      <c r="O75" s="25">
        <f t="shared" ref="O75:O76" si="27">P75+Q75</f>
        <v>1327</v>
      </c>
      <c r="P75" s="25">
        <v>1327</v>
      </c>
      <c r="Q75" s="25"/>
      <c r="R75" s="25">
        <f>S75+T75</f>
        <v>1313.9</v>
      </c>
      <c r="S75" s="25">
        <v>1313.9</v>
      </c>
      <c r="T75" s="25"/>
      <c r="U75" s="25">
        <f t="shared" ref="U75:U76" si="28">V75+W75</f>
        <v>1327.3</v>
      </c>
      <c r="V75" s="25">
        <v>1327.3</v>
      </c>
      <c r="W75" s="25"/>
    </row>
    <row r="76" spans="1:23" s="2" customFormat="1" ht="37.5">
      <c r="A76" s="225" t="s">
        <v>20</v>
      </c>
      <c r="B76" s="229" t="s">
        <v>69</v>
      </c>
      <c r="C76" s="255"/>
      <c r="D76" s="226" t="s">
        <v>349</v>
      </c>
      <c r="E76" s="226" t="s">
        <v>92</v>
      </c>
      <c r="F76" s="226" t="s">
        <v>93</v>
      </c>
      <c r="G76" s="226" t="s">
        <v>114</v>
      </c>
      <c r="H76" s="250">
        <v>200</v>
      </c>
      <c r="I76" s="545"/>
      <c r="J76" s="476"/>
      <c r="K76" s="217"/>
      <c r="L76" s="25">
        <v>705.2</v>
      </c>
      <c r="M76" s="25">
        <v>682.1</v>
      </c>
      <c r="N76" s="25">
        <v>403.7</v>
      </c>
      <c r="O76" s="25">
        <f t="shared" si="27"/>
        <v>598.9</v>
      </c>
      <c r="P76" s="25">
        <v>598.9</v>
      </c>
      <c r="Q76" s="25"/>
      <c r="R76" s="25">
        <f>S76+T76</f>
        <v>593.29999999999995</v>
      </c>
      <c r="S76" s="25">
        <v>593.29999999999995</v>
      </c>
      <c r="T76" s="25"/>
      <c r="U76" s="25">
        <f t="shared" si="28"/>
        <v>599.29999999999995</v>
      </c>
      <c r="V76" s="25">
        <v>599.29999999999995</v>
      </c>
      <c r="W76" s="25"/>
    </row>
    <row r="77" spans="1:23" s="2" customFormat="1" ht="187.5">
      <c r="A77" s="225" t="s">
        <v>1232</v>
      </c>
      <c r="B77" s="229" t="s">
        <v>1233</v>
      </c>
      <c r="C77" s="255"/>
      <c r="D77" s="226" t="s">
        <v>1021</v>
      </c>
      <c r="E77" s="226" t="s">
        <v>92</v>
      </c>
      <c r="F77" s="226" t="s">
        <v>83</v>
      </c>
      <c r="G77" s="226" t="s">
        <v>124</v>
      </c>
      <c r="H77" s="250">
        <v>200</v>
      </c>
      <c r="I77" s="209" t="s">
        <v>1234</v>
      </c>
      <c r="J77" s="212" t="s">
        <v>1235</v>
      </c>
      <c r="K77" s="218" t="s">
        <v>1236</v>
      </c>
      <c r="L77" s="25">
        <v>209.3</v>
      </c>
      <c r="M77" s="25">
        <v>529.4</v>
      </c>
      <c r="N77" s="25">
        <v>529.4</v>
      </c>
      <c r="O77" s="25"/>
      <c r="P77" s="25"/>
      <c r="Q77" s="25"/>
      <c r="R77" s="25"/>
      <c r="S77" s="25"/>
      <c r="T77" s="25"/>
      <c r="U77" s="25"/>
      <c r="V77" s="25"/>
      <c r="W77" s="25"/>
    </row>
    <row r="78" spans="1:23" s="2" customFormat="1">
      <c r="A78" s="416" t="s">
        <v>88</v>
      </c>
      <c r="B78" s="416"/>
      <c r="C78" s="416"/>
      <c r="D78" s="416"/>
      <c r="E78" s="416"/>
      <c r="F78" s="416"/>
      <c r="G78" s="416"/>
      <c r="H78" s="416"/>
      <c r="I78" s="416"/>
      <c r="J78" s="416"/>
      <c r="K78" s="416"/>
      <c r="L78" s="22">
        <f t="shared" ref="L78:W78" si="29">SUM(L79,L83,L99)</f>
        <v>27959.099999999995</v>
      </c>
      <c r="M78" s="22">
        <f t="shared" si="29"/>
        <v>39124.1</v>
      </c>
      <c r="N78" s="22">
        <f t="shared" si="29"/>
        <v>22623.199999999997</v>
      </c>
      <c r="O78" s="22">
        <f t="shared" si="29"/>
        <v>29177.800000000003</v>
      </c>
      <c r="P78" s="22">
        <f t="shared" si="29"/>
        <v>29177.800000000003</v>
      </c>
      <c r="Q78" s="22">
        <f t="shared" si="29"/>
        <v>0</v>
      </c>
      <c r="R78" s="22">
        <f t="shared" si="29"/>
        <v>28906.5</v>
      </c>
      <c r="S78" s="22">
        <f t="shared" si="29"/>
        <v>28906.5</v>
      </c>
      <c r="T78" s="22">
        <f t="shared" si="29"/>
        <v>0</v>
      </c>
      <c r="U78" s="22">
        <f t="shared" si="29"/>
        <v>29197.8</v>
      </c>
      <c r="V78" s="22">
        <f t="shared" si="29"/>
        <v>29197.8</v>
      </c>
      <c r="W78" s="22">
        <f t="shared" si="29"/>
        <v>0</v>
      </c>
    </row>
    <row r="79" spans="1:23" s="2" customFormat="1">
      <c r="A79" s="225" t="s">
        <v>12</v>
      </c>
      <c r="B79" s="229" t="s">
        <v>58</v>
      </c>
      <c r="C79" s="218"/>
      <c r="D79" s="218"/>
      <c r="E79" s="250"/>
      <c r="F79" s="250"/>
      <c r="G79" s="250"/>
      <c r="H79" s="250">
        <v>100</v>
      </c>
      <c r="I79" s="252"/>
      <c r="J79" s="218"/>
      <c r="K79" s="218"/>
      <c r="L79" s="25">
        <f>L80</f>
        <v>13812.6</v>
      </c>
      <c r="M79" s="25">
        <f t="shared" ref="M79:W79" si="30">M80</f>
        <v>16151.2</v>
      </c>
      <c r="N79" s="25">
        <f t="shared" si="30"/>
        <v>8746.7999999999993</v>
      </c>
      <c r="O79" s="25">
        <f>O80</f>
        <v>18166.5</v>
      </c>
      <c r="P79" s="25">
        <f>P80</f>
        <v>18166.5</v>
      </c>
      <c r="Q79" s="25">
        <f t="shared" si="30"/>
        <v>0</v>
      </c>
      <c r="R79" s="25">
        <f t="shared" si="30"/>
        <v>17998.2</v>
      </c>
      <c r="S79" s="25">
        <f t="shared" si="30"/>
        <v>17998.2</v>
      </c>
      <c r="T79" s="25">
        <f t="shared" si="30"/>
        <v>0</v>
      </c>
      <c r="U79" s="25">
        <f t="shared" si="30"/>
        <v>18179.7</v>
      </c>
      <c r="V79" s="25">
        <f t="shared" si="30"/>
        <v>18179.7</v>
      </c>
      <c r="W79" s="25">
        <f t="shared" si="30"/>
        <v>0</v>
      </c>
    </row>
    <row r="80" spans="1:23" s="2" customFormat="1" ht="37.5">
      <c r="A80" s="225" t="s">
        <v>48</v>
      </c>
      <c r="B80" s="229" t="s">
        <v>193</v>
      </c>
      <c r="C80" s="218"/>
      <c r="D80" s="218"/>
      <c r="E80" s="250"/>
      <c r="F80" s="250"/>
      <c r="G80" s="250"/>
      <c r="H80" s="250">
        <v>100</v>
      </c>
      <c r="I80" s="252"/>
      <c r="J80" s="218"/>
      <c r="K80" s="218"/>
      <c r="L80" s="25">
        <f t="shared" ref="L80:W80" si="31">SUM(L81:L82)</f>
        <v>13812.6</v>
      </c>
      <c r="M80" s="25">
        <f t="shared" si="31"/>
        <v>16151.2</v>
      </c>
      <c r="N80" s="25">
        <f t="shared" si="31"/>
        <v>8746.7999999999993</v>
      </c>
      <c r="O80" s="25">
        <f t="shared" si="31"/>
        <v>18166.5</v>
      </c>
      <c r="P80" s="25">
        <f t="shared" si="31"/>
        <v>18166.5</v>
      </c>
      <c r="Q80" s="25">
        <f t="shared" si="31"/>
        <v>0</v>
      </c>
      <c r="R80" s="25">
        <f t="shared" si="31"/>
        <v>17998.2</v>
      </c>
      <c r="S80" s="25">
        <f t="shared" si="31"/>
        <v>17998.2</v>
      </c>
      <c r="T80" s="25">
        <f t="shared" si="31"/>
        <v>0</v>
      </c>
      <c r="U80" s="25">
        <f t="shared" si="31"/>
        <v>18179.7</v>
      </c>
      <c r="V80" s="25">
        <f t="shared" si="31"/>
        <v>18179.7</v>
      </c>
      <c r="W80" s="25">
        <f t="shared" si="31"/>
        <v>0</v>
      </c>
    </row>
    <row r="81" spans="1:23" s="2" customFormat="1" ht="18.75" customHeight="1">
      <c r="A81" s="624"/>
      <c r="B81" s="185"/>
      <c r="C81" s="212"/>
      <c r="D81" s="226" t="s">
        <v>403</v>
      </c>
      <c r="E81" s="226" t="s">
        <v>95</v>
      </c>
      <c r="F81" s="226" t="s">
        <v>80</v>
      </c>
      <c r="G81" s="226" t="s">
        <v>96</v>
      </c>
      <c r="H81" s="250">
        <v>100</v>
      </c>
      <c r="I81" s="209"/>
      <c r="J81" s="212"/>
      <c r="K81" s="218"/>
      <c r="L81" s="25">
        <v>9238.1</v>
      </c>
      <c r="M81" s="25">
        <v>10436.6</v>
      </c>
      <c r="N81" s="25">
        <v>6102.2</v>
      </c>
      <c r="O81" s="25">
        <f>P81+Q81</f>
        <v>11710.6</v>
      </c>
      <c r="P81" s="25">
        <v>11710.6</v>
      </c>
      <c r="Q81" s="25">
        <v>0</v>
      </c>
      <c r="R81" s="25">
        <f>S81+T81</f>
        <v>11602.1</v>
      </c>
      <c r="S81" s="25">
        <v>11602.1</v>
      </c>
      <c r="T81" s="25">
        <v>0</v>
      </c>
      <c r="U81" s="25">
        <f>V81</f>
        <v>11719.1</v>
      </c>
      <c r="V81" s="25">
        <v>11719.1</v>
      </c>
      <c r="W81" s="25"/>
    </row>
    <row r="82" spans="1:23" s="2" customFormat="1" ht="18.75" customHeight="1">
      <c r="A82" s="170" t="s">
        <v>237</v>
      </c>
      <c r="B82" s="172" t="s">
        <v>238</v>
      </c>
      <c r="C82" s="208" t="s">
        <v>113</v>
      </c>
      <c r="D82" s="226" t="s">
        <v>393</v>
      </c>
      <c r="E82" s="226" t="s">
        <v>98</v>
      </c>
      <c r="F82" s="226" t="s">
        <v>98</v>
      </c>
      <c r="G82" s="226" t="s">
        <v>100</v>
      </c>
      <c r="H82" s="250">
        <v>100</v>
      </c>
      <c r="I82" s="207" t="s">
        <v>203</v>
      </c>
      <c r="J82" s="208" t="s">
        <v>204</v>
      </c>
      <c r="K82" s="218"/>
      <c r="L82" s="25">
        <v>4574.5</v>
      </c>
      <c r="M82" s="25">
        <v>5714.6</v>
      </c>
      <c r="N82" s="25">
        <v>2644.6</v>
      </c>
      <c r="O82" s="25">
        <f>P82</f>
        <v>6455.9</v>
      </c>
      <c r="P82" s="25">
        <v>6455.9</v>
      </c>
      <c r="Q82" s="25"/>
      <c r="R82" s="25">
        <f>S82</f>
        <v>6396.1</v>
      </c>
      <c r="S82" s="25">
        <v>6396.1</v>
      </c>
      <c r="T82" s="25"/>
      <c r="U82" s="25">
        <f>V82</f>
        <v>6460.6</v>
      </c>
      <c r="V82" s="25">
        <v>6460.6</v>
      </c>
      <c r="W82" s="25"/>
    </row>
    <row r="83" spans="1:23" s="2" customFormat="1" ht="37.5">
      <c r="A83" s="225" t="s">
        <v>13</v>
      </c>
      <c r="B83" s="229" t="s">
        <v>32</v>
      </c>
      <c r="C83" s="252"/>
      <c r="D83" s="226"/>
      <c r="E83" s="250"/>
      <c r="F83" s="250"/>
      <c r="G83" s="250"/>
      <c r="H83" s="250">
        <v>200</v>
      </c>
      <c r="I83" s="252"/>
      <c r="J83" s="252"/>
      <c r="K83" s="217"/>
      <c r="L83" s="25">
        <f>L84</f>
        <v>14129.699999999997</v>
      </c>
      <c r="M83" s="25">
        <f>M84</f>
        <v>22948.799999999999</v>
      </c>
      <c r="N83" s="25">
        <f t="shared" ref="N83:W83" si="32">N84</f>
        <v>13861.3</v>
      </c>
      <c r="O83" s="25">
        <f t="shared" ref="O83:O100" si="33">P83+Q83</f>
        <v>10970.800000000001</v>
      </c>
      <c r="P83" s="25">
        <f t="shared" si="32"/>
        <v>10970.800000000001</v>
      </c>
      <c r="Q83" s="25">
        <f t="shared" si="32"/>
        <v>0</v>
      </c>
      <c r="R83" s="25">
        <f t="shared" ref="R83:R100" si="34">S83+T83</f>
        <v>10868.099999999999</v>
      </c>
      <c r="S83" s="25">
        <f t="shared" si="32"/>
        <v>10868.099999999999</v>
      </c>
      <c r="T83" s="25">
        <f t="shared" si="32"/>
        <v>0</v>
      </c>
      <c r="U83" s="25">
        <f t="shared" ref="U83:U100" si="35">V83+W83</f>
        <v>10977.599999999999</v>
      </c>
      <c r="V83" s="25">
        <f t="shared" si="32"/>
        <v>10977.599999999999</v>
      </c>
      <c r="W83" s="25">
        <f t="shared" si="32"/>
        <v>0</v>
      </c>
    </row>
    <row r="84" spans="1:23" s="2" customFormat="1" ht="37.5">
      <c r="A84" s="225" t="s">
        <v>49</v>
      </c>
      <c r="B84" s="229" t="s">
        <v>284</v>
      </c>
      <c r="C84" s="252"/>
      <c r="D84" s="226"/>
      <c r="E84" s="250"/>
      <c r="F84" s="250"/>
      <c r="G84" s="250"/>
      <c r="H84" s="250">
        <v>200</v>
      </c>
      <c r="I84" s="252"/>
      <c r="J84" s="252"/>
      <c r="K84" s="217"/>
      <c r="L84" s="25">
        <f>SUM(L85:L98)</f>
        <v>14129.699999999997</v>
      </c>
      <c r="M84" s="25">
        <f>SUM(M85:M98)</f>
        <v>22948.799999999999</v>
      </c>
      <c r="N84" s="25">
        <f>SUM(N85:N98)</f>
        <v>13861.3</v>
      </c>
      <c r="O84" s="25">
        <f t="shared" si="33"/>
        <v>10970.800000000001</v>
      </c>
      <c r="P84" s="25">
        <f t="shared" ref="P84:W84" si="36">SUM(P85:P98)</f>
        <v>10970.800000000001</v>
      </c>
      <c r="Q84" s="25">
        <f t="shared" si="36"/>
        <v>0</v>
      </c>
      <c r="R84" s="25">
        <f t="shared" si="36"/>
        <v>10868.099999999999</v>
      </c>
      <c r="S84" s="25">
        <f t="shared" si="36"/>
        <v>10868.099999999999</v>
      </c>
      <c r="T84" s="25">
        <f t="shared" si="36"/>
        <v>0</v>
      </c>
      <c r="U84" s="25">
        <f t="shared" si="36"/>
        <v>10977.599999999999</v>
      </c>
      <c r="V84" s="25">
        <f t="shared" si="36"/>
        <v>10977.599999999999</v>
      </c>
      <c r="W84" s="25">
        <f t="shared" si="36"/>
        <v>0</v>
      </c>
    </row>
    <row r="85" spans="1:23" s="2" customFormat="1" ht="93.75">
      <c r="A85" s="225"/>
      <c r="B85" s="229" t="s">
        <v>257</v>
      </c>
      <c r="C85" s="218" t="s">
        <v>421</v>
      </c>
      <c r="D85" s="226"/>
      <c r="E85" s="226" t="s">
        <v>95</v>
      </c>
      <c r="F85" s="250">
        <v>10</v>
      </c>
      <c r="G85" s="250">
        <v>2010425250</v>
      </c>
      <c r="H85" s="250">
        <v>200</v>
      </c>
      <c r="I85" s="531" t="s">
        <v>240</v>
      </c>
      <c r="J85" s="472" t="s">
        <v>241</v>
      </c>
      <c r="K85" s="217"/>
      <c r="L85" s="25">
        <v>505.4</v>
      </c>
      <c r="M85" s="25"/>
      <c r="N85" s="25"/>
      <c r="O85" s="25"/>
      <c r="P85" s="25"/>
      <c r="Q85" s="25"/>
      <c r="R85" s="25"/>
      <c r="S85" s="25"/>
      <c r="T85" s="25"/>
      <c r="U85" s="25"/>
      <c r="V85" s="25"/>
      <c r="W85" s="25"/>
    </row>
    <row r="86" spans="1:23" s="2" customFormat="1" ht="150">
      <c r="A86" s="225" t="s">
        <v>239</v>
      </c>
      <c r="B86" s="229" t="s">
        <v>236</v>
      </c>
      <c r="C86" s="218" t="s">
        <v>408</v>
      </c>
      <c r="D86" s="226" t="s">
        <v>403</v>
      </c>
      <c r="E86" s="226" t="s">
        <v>95</v>
      </c>
      <c r="F86" s="226" t="s">
        <v>80</v>
      </c>
      <c r="G86" s="226" t="s">
        <v>96</v>
      </c>
      <c r="H86" s="250">
        <v>200</v>
      </c>
      <c r="I86" s="535"/>
      <c r="J86" s="473"/>
      <c r="K86" s="217"/>
      <c r="L86" s="25">
        <v>4202</v>
      </c>
      <c r="M86" s="25">
        <v>4220.6000000000004</v>
      </c>
      <c r="N86" s="25">
        <f>2837.5+0.2</f>
        <v>2837.7</v>
      </c>
      <c r="O86" s="25">
        <f>P86</f>
        <v>3965.2</v>
      </c>
      <c r="P86" s="25">
        <f>3694.2+271</f>
        <v>3965.2</v>
      </c>
      <c r="Q86" s="25"/>
      <c r="R86" s="25">
        <f>S86</f>
        <v>3927.5</v>
      </c>
      <c r="S86" s="25">
        <v>3927.5</v>
      </c>
      <c r="T86" s="25"/>
      <c r="U86" s="25">
        <f>V86</f>
        <v>3967</v>
      </c>
      <c r="V86" s="25">
        <v>3967</v>
      </c>
      <c r="W86" s="25"/>
    </row>
    <row r="87" spans="1:23" s="2" customFormat="1" ht="150">
      <c r="A87" s="225" t="s">
        <v>242</v>
      </c>
      <c r="B87" s="229" t="s">
        <v>243</v>
      </c>
      <c r="C87" s="218" t="s">
        <v>408</v>
      </c>
      <c r="D87" s="226" t="s">
        <v>403</v>
      </c>
      <c r="E87" s="226" t="s">
        <v>95</v>
      </c>
      <c r="F87" s="226" t="s">
        <v>80</v>
      </c>
      <c r="G87" s="226" t="s">
        <v>184</v>
      </c>
      <c r="H87" s="250">
        <v>200</v>
      </c>
      <c r="I87" s="536"/>
      <c r="J87" s="474"/>
      <c r="K87" s="217"/>
      <c r="L87" s="25">
        <v>282.39999999999998</v>
      </c>
      <c r="M87" s="25">
        <v>268.39999999999998</v>
      </c>
      <c r="N87" s="25">
        <v>0</v>
      </c>
      <c r="O87" s="25">
        <f>P87+Q87</f>
        <v>359.6</v>
      </c>
      <c r="P87" s="25">
        <v>359.6</v>
      </c>
      <c r="Q87" s="25"/>
      <c r="R87" s="25">
        <f>S87+T87</f>
        <v>356.2</v>
      </c>
      <c r="S87" s="25">
        <v>356.2</v>
      </c>
      <c r="T87" s="25"/>
      <c r="U87" s="25">
        <f>V87</f>
        <v>359.8</v>
      </c>
      <c r="V87" s="25">
        <v>359.8</v>
      </c>
      <c r="W87" s="25"/>
    </row>
    <row r="88" spans="1:23" s="2" customFormat="1" ht="131.25">
      <c r="A88" s="225" t="s">
        <v>245</v>
      </c>
      <c r="B88" s="229" t="s">
        <v>246</v>
      </c>
      <c r="C88" s="218" t="s">
        <v>106</v>
      </c>
      <c r="D88" s="226" t="s">
        <v>394</v>
      </c>
      <c r="E88" s="226" t="s">
        <v>93</v>
      </c>
      <c r="F88" s="226" t="s">
        <v>97</v>
      </c>
      <c r="G88" s="226" t="s">
        <v>185</v>
      </c>
      <c r="H88" s="250">
        <v>200</v>
      </c>
      <c r="I88" s="531" t="s">
        <v>179</v>
      </c>
      <c r="J88" s="472" t="s">
        <v>247</v>
      </c>
      <c r="K88" s="217"/>
      <c r="L88" s="25">
        <v>906.5</v>
      </c>
      <c r="M88" s="25">
        <v>1164.3</v>
      </c>
      <c r="N88" s="25">
        <v>1051.3</v>
      </c>
      <c r="O88" s="25">
        <f>P88</f>
        <v>1139.8</v>
      </c>
      <c r="P88" s="25">
        <v>1139.8</v>
      </c>
      <c r="Q88" s="25"/>
      <c r="R88" s="25">
        <f>S88</f>
        <v>1129.2</v>
      </c>
      <c r="S88" s="25">
        <v>1129.2</v>
      </c>
      <c r="T88" s="25"/>
      <c r="U88" s="25">
        <f>V88</f>
        <v>1140.5999999999999</v>
      </c>
      <c r="V88" s="25">
        <v>1140.5999999999999</v>
      </c>
      <c r="W88" s="25"/>
    </row>
    <row r="89" spans="1:23" s="2" customFormat="1" ht="168.75">
      <c r="A89" s="225" t="s">
        <v>248</v>
      </c>
      <c r="B89" s="229" t="s">
        <v>246</v>
      </c>
      <c r="C89" s="218" t="s">
        <v>1016</v>
      </c>
      <c r="D89" s="226" t="s">
        <v>394</v>
      </c>
      <c r="E89" s="226" t="s">
        <v>93</v>
      </c>
      <c r="F89" s="226" t="s">
        <v>97</v>
      </c>
      <c r="G89" s="226" t="s">
        <v>1237</v>
      </c>
      <c r="H89" s="250">
        <v>200</v>
      </c>
      <c r="I89" s="535"/>
      <c r="J89" s="473"/>
      <c r="K89" s="217"/>
      <c r="L89" s="25">
        <v>80.099999999999994</v>
      </c>
      <c r="M89" s="25"/>
      <c r="N89" s="25"/>
      <c r="O89" s="25">
        <f>P89</f>
        <v>0</v>
      </c>
      <c r="P89" s="25"/>
      <c r="Q89" s="25"/>
      <c r="R89" s="25"/>
      <c r="S89" s="25"/>
      <c r="T89" s="25"/>
      <c r="U89" s="25"/>
      <c r="V89" s="25"/>
      <c r="W89" s="25"/>
    </row>
    <row r="90" spans="1:23" s="2" customFormat="1" ht="131.25">
      <c r="A90" s="225" t="s">
        <v>250</v>
      </c>
      <c r="B90" s="229" t="s">
        <v>246</v>
      </c>
      <c r="C90" s="218" t="s">
        <v>106</v>
      </c>
      <c r="D90" s="226" t="s">
        <v>394</v>
      </c>
      <c r="E90" s="226" t="s">
        <v>93</v>
      </c>
      <c r="F90" s="226" t="s">
        <v>97</v>
      </c>
      <c r="G90" s="226" t="s">
        <v>123</v>
      </c>
      <c r="H90" s="250">
        <v>200</v>
      </c>
      <c r="I90" s="535"/>
      <c r="J90" s="473"/>
      <c r="K90" s="217"/>
      <c r="L90" s="25">
        <v>2991.2</v>
      </c>
      <c r="M90" s="25">
        <v>5408.1</v>
      </c>
      <c r="N90" s="25"/>
      <c r="O90" s="25"/>
      <c r="P90" s="25"/>
      <c r="Q90" s="25"/>
      <c r="R90" s="25"/>
      <c r="S90" s="25"/>
      <c r="T90" s="25"/>
      <c r="U90" s="25"/>
      <c r="V90" s="25"/>
      <c r="W90" s="25"/>
    </row>
    <row r="91" spans="1:23" s="2" customFormat="1" ht="112.5">
      <c r="A91" s="225" t="s">
        <v>250</v>
      </c>
      <c r="B91" s="229" t="s">
        <v>258</v>
      </c>
      <c r="C91" s="218" t="s">
        <v>1017</v>
      </c>
      <c r="D91" s="226" t="s">
        <v>394</v>
      </c>
      <c r="E91" s="226" t="s">
        <v>93</v>
      </c>
      <c r="F91" s="226" t="s">
        <v>97</v>
      </c>
      <c r="G91" s="226" t="s">
        <v>162</v>
      </c>
      <c r="H91" s="250">
        <v>200</v>
      </c>
      <c r="I91" s="536"/>
      <c r="J91" s="211"/>
      <c r="K91" s="217"/>
      <c r="L91" s="25">
        <v>339.8</v>
      </c>
      <c r="M91" s="25"/>
      <c r="N91" s="25"/>
      <c r="O91" s="25">
        <f>P91+Q91</f>
        <v>351.3</v>
      </c>
      <c r="P91" s="25">
        <v>351.3</v>
      </c>
      <c r="Q91" s="25"/>
      <c r="R91" s="25">
        <f>S91+T91</f>
        <v>348</v>
      </c>
      <c r="S91" s="25">
        <v>348</v>
      </c>
      <c r="T91" s="25"/>
      <c r="U91" s="25">
        <f>V91+W91</f>
        <v>351.6</v>
      </c>
      <c r="V91" s="25">
        <v>351.6</v>
      </c>
      <c r="W91" s="25"/>
    </row>
    <row r="92" spans="1:23" s="2" customFormat="1" ht="93.75">
      <c r="A92" s="225" t="s">
        <v>255</v>
      </c>
      <c r="B92" s="229" t="s">
        <v>299</v>
      </c>
      <c r="C92" s="218" t="s">
        <v>109</v>
      </c>
      <c r="D92" s="226" t="s">
        <v>395</v>
      </c>
      <c r="E92" s="226" t="s">
        <v>98</v>
      </c>
      <c r="F92" s="226" t="s">
        <v>95</v>
      </c>
      <c r="G92" s="226" t="s">
        <v>186</v>
      </c>
      <c r="H92" s="250">
        <v>200</v>
      </c>
      <c r="I92" s="145"/>
      <c r="J92" s="210"/>
      <c r="K92" s="217"/>
      <c r="L92" s="25">
        <v>3203.8</v>
      </c>
      <c r="M92" s="25">
        <v>3626.9</v>
      </c>
      <c r="N92" s="25">
        <v>2198</v>
      </c>
      <c r="O92" s="25">
        <f>P92+Q92</f>
        <v>4308.1000000000004</v>
      </c>
      <c r="P92" s="25">
        <v>4308.1000000000004</v>
      </c>
      <c r="Q92" s="25"/>
      <c r="R92" s="25">
        <f>S92</f>
        <v>4268.2</v>
      </c>
      <c r="S92" s="25">
        <v>4268.2</v>
      </c>
      <c r="T92" s="25"/>
      <c r="U92" s="25">
        <f>V92</f>
        <v>4311.2</v>
      </c>
      <c r="V92" s="25">
        <v>4311.2</v>
      </c>
      <c r="W92" s="25"/>
    </row>
    <row r="93" spans="1:23" s="2" customFormat="1" ht="187.5">
      <c r="A93" s="225" t="s">
        <v>259</v>
      </c>
      <c r="B93" s="229" t="s">
        <v>300</v>
      </c>
      <c r="C93" s="218" t="s">
        <v>285</v>
      </c>
      <c r="D93" s="226" t="s">
        <v>395</v>
      </c>
      <c r="E93" s="226" t="s">
        <v>98</v>
      </c>
      <c r="F93" s="226" t="s">
        <v>95</v>
      </c>
      <c r="G93" s="226" t="s">
        <v>225</v>
      </c>
      <c r="H93" s="250">
        <v>200</v>
      </c>
      <c r="I93" s="145"/>
      <c r="J93" s="210"/>
      <c r="K93" s="217"/>
      <c r="L93" s="25">
        <v>100</v>
      </c>
      <c r="M93" s="25">
        <v>70</v>
      </c>
      <c r="N93" s="25">
        <v>64</v>
      </c>
      <c r="O93" s="25">
        <f t="shared" ref="O93:O98" si="37">P93</f>
        <v>114.2</v>
      </c>
      <c r="P93" s="25">
        <v>114.2</v>
      </c>
      <c r="Q93" s="25"/>
      <c r="R93" s="25">
        <f t="shared" ref="R93:R98" si="38">S93</f>
        <v>113.1</v>
      </c>
      <c r="S93" s="25">
        <v>113.1</v>
      </c>
      <c r="T93" s="25"/>
      <c r="U93" s="25">
        <f t="shared" ref="U93:U98" si="39">V93</f>
        <v>114.3</v>
      </c>
      <c r="V93" s="25">
        <v>114.3</v>
      </c>
      <c r="W93" s="25"/>
    </row>
    <row r="94" spans="1:23" s="2" customFormat="1" ht="75">
      <c r="A94" s="225" t="s">
        <v>260</v>
      </c>
      <c r="B94" s="229" t="s">
        <v>251</v>
      </c>
      <c r="C94" s="218" t="s">
        <v>110</v>
      </c>
      <c r="D94" s="226" t="s">
        <v>395</v>
      </c>
      <c r="E94" s="226" t="s">
        <v>98</v>
      </c>
      <c r="F94" s="226" t="s">
        <v>95</v>
      </c>
      <c r="G94" s="226" t="s">
        <v>126</v>
      </c>
      <c r="H94" s="250">
        <v>200</v>
      </c>
      <c r="I94" s="145"/>
      <c r="J94" s="210"/>
      <c r="K94" s="217"/>
      <c r="L94" s="25">
        <v>45.6</v>
      </c>
      <c r="M94" s="25">
        <v>325.60000000000002</v>
      </c>
      <c r="N94" s="25">
        <v>325.60000000000002</v>
      </c>
      <c r="O94" s="25">
        <f>P94+Q94</f>
        <v>215.1</v>
      </c>
      <c r="P94" s="25">
        <v>215.1</v>
      </c>
      <c r="Q94" s="25"/>
      <c r="R94" s="25">
        <f>S94+T94</f>
        <v>213.1</v>
      </c>
      <c r="S94" s="25">
        <v>213.1</v>
      </c>
      <c r="T94" s="25">
        <v>0</v>
      </c>
      <c r="U94" s="25">
        <f t="shared" si="39"/>
        <v>215.3</v>
      </c>
      <c r="V94" s="25">
        <v>215.3</v>
      </c>
      <c r="W94" s="25"/>
    </row>
    <row r="95" spans="1:23" s="2" customFormat="1" ht="112.5">
      <c r="A95" s="225" t="s">
        <v>261</v>
      </c>
      <c r="B95" s="229" t="s">
        <v>301</v>
      </c>
      <c r="C95" s="218" t="s">
        <v>111</v>
      </c>
      <c r="D95" s="226" t="s">
        <v>396</v>
      </c>
      <c r="E95" s="226" t="s">
        <v>98</v>
      </c>
      <c r="F95" s="226" t="s">
        <v>95</v>
      </c>
      <c r="G95" s="226" t="s">
        <v>121</v>
      </c>
      <c r="H95" s="250">
        <v>200</v>
      </c>
      <c r="I95" s="145"/>
      <c r="J95" s="210"/>
      <c r="K95" s="217"/>
      <c r="L95" s="25">
        <v>53.1</v>
      </c>
      <c r="M95" s="25">
        <v>26.5</v>
      </c>
      <c r="N95" s="25">
        <v>24.5</v>
      </c>
      <c r="O95" s="25">
        <f>P95+Q95</f>
        <v>24.9</v>
      </c>
      <c r="P95" s="25">
        <v>24.9</v>
      </c>
      <c r="Q95" s="25"/>
      <c r="R95" s="25">
        <f>S95+T95</f>
        <v>24.7</v>
      </c>
      <c r="S95" s="25">
        <v>24.7</v>
      </c>
      <c r="T95" s="25"/>
      <c r="U95" s="25">
        <f t="shared" si="39"/>
        <v>24.9</v>
      </c>
      <c r="V95" s="25">
        <v>24.9</v>
      </c>
      <c r="W95" s="25"/>
    </row>
    <row r="96" spans="1:23" s="2" customFormat="1" ht="75">
      <c r="A96" s="225" t="s">
        <v>262</v>
      </c>
      <c r="B96" s="229" t="s">
        <v>254</v>
      </c>
      <c r="C96" s="218" t="s">
        <v>112</v>
      </c>
      <c r="D96" s="226" t="s">
        <v>395</v>
      </c>
      <c r="E96" s="226" t="s">
        <v>98</v>
      </c>
      <c r="F96" s="226" t="s">
        <v>95</v>
      </c>
      <c r="G96" s="226" t="s">
        <v>178</v>
      </c>
      <c r="H96" s="250">
        <v>200</v>
      </c>
      <c r="I96" s="145"/>
      <c r="J96" s="210"/>
      <c r="K96" s="217"/>
      <c r="L96" s="25">
        <v>39</v>
      </c>
      <c r="M96" s="25">
        <v>62.3</v>
      </c>
      <c r="N96" s="25">
        <v>25.9</v>
      </c>
      <c r="O96" s="25">
        <f>P96+Q96</f>
        <v>59.9</v>
      </c>
      <c r="P96" s="25">
        <v>59.9</v>
      </c>
      <c r="Q96" s="25"/>
      <c r="R96" s="25">
        <f>S96+T96</f>
        <v>59.3</v>
      </c>
      <c r="S96" s="25">
        <v>59.3</v>
      </c>
      <c r="T96" s="25"/>
      <c r="U96" s="25">
        <f t="shared" si="39"/>
        <v>59.9</v>
      </c>
      <c r="V96" s="25">
        <v>59.9</v>
      </c>
      <c r="W96" s="25"/>
    </row>
    <row r="97" spans="1:23" s="2" customFormat="1" ht="112.5">
      <c r="A97" s="225"/>
      <c r="B97" s="229" t="s">
        <v>254</v>
      </c>
      <c r="C97" s="218" t="s">
        <v>420</v>
      </c>
      <c r="D97" s="226" t="s">
        <v>395</v>
      </c>
      <c r="E97" s="226" t="s">
        <v>98</v>
      </c>
      <c r="F97" s="226" t="s">
        <v>95</v>
      </c>
      <c r="G97" s="226" t="s">
        <v>380</v>
      </c>
      <c r="H97" s="250">
        <v>200</v>
      </c>
      <c r="I97" s="145"/>
      <c r="J97" s="210"/>
      <c r="K97" s="217"/>
      <c r="L97" s="25">
        <v>851.9</v>
      </c>
      <c r="M97" s="25">
        <v>7327.8</v>
      </c>
      <c r="N97" s="25">
        <v>7117.4</v>
      </c>
      <c r="O97" s="25"/>
      <c r="P97" s="25"/>
      <c r="Q97" s="25"/>
      <c r="R97" s="25"/>
      <c r="S97" s="25"/>
      <c r="T97" s="25"/>
      <c r="U97" s="25"/>
      <c r="V97" s="25"/>
      <c r="W97" s="25"/>
    </row>
    <row r="98" spans="1:23" s="2" customFormat="1" ht="229.5">
      <c r="A98" s="225" t="s">
        <v>431</v>
      </c>
      <c r="B98" s="229" t="s">
        <v>304</v>
      </c>
      <c r="C98" s="218" t="s">
        <v>113</v>
      </c>
      <c r="D98" s="226" t="s">
        <v>393</v>
      </c>
      <c r="E98" s="226" t="s">
        <v>98</v>
      </c>
      <c r="F98" s="226" t="s">
        <v>98</v>
      </c>
      <c r="G98" s="226" t="s">
        <v>100</v>
      </c>
      <c r="H98" s="250">
        <v>200</v>
      </c>
      <c r="I98" s="236" t="s">
        <v>203</v>
      </c>
      <c r="J98" s="217" t="s">
        <v>206</v>
      </c>
      <c r="K98" s="217"/>
      <c r="L98" s="25">
        <v>528.9</v>
      </c>
      <c r="M98" s="25">
        <v>448.3</v>
      </c>
      <c r="N98" s="25">
        <v>216.9</v>
      </c>
      <c r="O98" s="25">
        <f t="shared" si="37"/>
        <v>432.7</v>
      </c>
      <c r="P98" s="25">
        <v>432.7</v>
      </c>
      <c r="Q98" s="25"/>
      <c r="R98" s="25">
        <f t="shared" si="38"/>
        <v>428.8</v>
      </c>
      <c r="S98" s="25">
        <v>428.8</v>
      </c>
      <c r="T98" s="25"/>
      <c r="U98" s="25">
        <f t="shared" si="39"/>
        <v>433</v>
      </c>
      <c r="V98" s="25">
        <v>433</v>
      </c>
      <c r="W98" s="25"/>
    </row>
    <row r="99" spans="1:23" s="2" customFormat="1">
      <c r="A99" s="225" t="s">
        <v>50</v>
      </c>
      <c r="B99" s="229" t="s">
        <v>31</v>
      </c>
      <c r="C99" s="252"/>
      <c r="D99" s="226"/>
      <c r="E99" s="250"/>
      <c r="F99" s="250"/>
      <c r="G99" s="250"/>
      <c r="H99" s="250">
        <v>800</v>
      </c>
      <c r="I99" s="252"/>
      <c r="J99" s="252"/>
      <c r="K99" s="217"/>
      <c r="L99" s="25">
        <f>L100</f>
        <v>16.8</v>
      </c>
      <c r="M99" s="25">
        <f t="shared" ref="M99:W99" si="40">M100</f>
        <v>24.1</v>
      </c>
      <c r="N99" s="25">
        <f t="shared" si="40"/>
        <v>15.1</v>
      </c>
      <c r="O99" s="25">
        <f t="shared" si="33"/>
        <v>40.5</v>
      </c>
      <c r="P99" s="25">
        <f t="shared" si="40"/>
        <v>40.5</v>
      </c>
      <c r="Q99" s="25">
        <f t="shared" si="40"/>
        <v>0</v>
      </c>
      <c r="R99" s="25">
        <f t="shared" si="34"/>
        <v>40.200000000000003</v>
      </c>
      <c r="S99" s="25">
        <f t="shared" si="40"/>
        <v>40.200000000000003</v>
      </c>
      <c r="T99" s="25">
        <f t="shared" si="40"/>
        <v>0</v>
      </c>
      <c r="U99" s="25">
        <f t="shared" si="35"/>
        <v>40.5</v>
      </c>
      <c r="V99" s="25">
        <f t="shared" si="40"/>
        <v>40.5</v>
      </c>
      <c r="W99" s="25">
        <f t="shared" si="40"/>
        <v>0</v>
      </c>
    </row>
    <row r="100" spans="1:23" s="2" customFormat="1" ht="37.5">
      <c r="A100" s="225" t="s">
        <v>51</v>
      </c>
      <c r="B100" s="229" t="s">
        <v>286</v>
      </c>
      <c r="C100" s="252"/>
      <c r="D100" s="226"/>
      <c r="E100" s="250"/>
      <c r="F100" s="250"/>
      <c r="G100" s="250"/>
      <c r="H100" s="250">
        <v>800</v>
      </c>
      <c r="I100" s="252"/>
      <c r="J100" s="252"/>
      <c r="K100" s="217"/>
      <c r="L100" s="25">
        <f>SUM(L101:L102)</f>
        <v>16.8</v>
      </c>
      <c r="M100" s="25">
        <f>SUM(M101:M102)</f>
        <v>24.1</v>
      </c>
      <c r="N100" s="25">
        <f>SUM(N101:N102)</f>
        <v>15.1</v>
      </c>
      <c r="O100" s="25">
        <f t="shared" si="33"/>
        <v>40.5</v>
      </c>
      <c r="P100" s="25">
        <f>SUM(P101:P102)</f>
        <v>40.5</v>
      </c>
      <c r="Q100" s="25">
        <f>SUM(Q101:Q102)</f>
        <v>0</v>
      </c>
      <c r="R100" s="25">
        <f t="shared" si="34"/>
        <v>40.200000000000003</v>
      </c>
      <c r="S100" s="25">
        <f>SUM(S101:S102)</f>
        <v>40.200000000000003</v>
      </c>
      <c r="T100" s="25">
        <f>SUM(T101:T102)</f>
        <v>0</v>
      </c>
      <c r="U100" s="25">
        <f t="shared" si="35"/>
        <v>40.5</v>
      </c>
      <c r="V100" s="25">
        <f>SUM(V101:V102)</f>
        <v>40.5</v>
      </c>
      <c r="W100" s="25">
        <f>SUM(W101:W102)</f>
        <v>0</v>
      </c>
    </row>
    <row r="101" spans="1:23" s="2" customFormat="1" ht="108">
      <c r="A101" s="225" t="s">
        <v>191</v>
      </c>
      <c r="B101" s="229" t="s">
        <v>257</v>
      </c>
      <c r="C101" s="218" t="s">
        <v>104</v>
      </c>
      <c r="D101" s="226" t="s">
        <v>403</v>
      </c>
      <c r="E101" s="226" t="s">
        <v>95</v>
      </c>
      <c r="F101" s="226" t="s">
        <v>80</v>
      </c>
      <c r="G101" s="226" t="s">
        <v>96</v>
      </c>
      <c r="H101" s="250">
        <v>800</v>
      </c>
      <c r="I101" s="237" t="s">
        <v>207</v>
      </c>
      <c r="J101" s="217" t="s">
        <v>105</v>
      </c>
      <c r="K101" s="218"/>
      <c r="L101" s="25">
        <v>4</v>
      </c>
      <c r="M101" s="25">
        <v>4.0999999999999996</v>
      </c>
      <c r="N101" s="25">
        <v>0.7</v>
      </c>
      <c r="O101" s="25">
        <f>P101</f>
        <v>3.6</v>
      </c>
      <c r="P101" s="25">
        <v>3.6</v>
      </c>
      <c r="Q101" s="25"/>
      <c r="R101" s="25">
        <f>S101</f>
        <v>3.6</v>
      </c>
      <c r="S101" s="25">
        <v>3.6</v>
      </c>
      <c r="T101" s="25"/>
      <c r="U101" s="25">
        <f>V101</f>
        <v>3.6</v>
      </c>
      <c r="V101" s="25">
        <v>3.6</v>
      </c>
      <c r="W101" s="25"/>
    </row>
    <row r="102" spans="1:23" s="2" customFormat="1" ht="204">
      <c r="A102" s="225" t="s">
        <v>1018</v>
      </c>
      <c r="B102" s="229" t="s">
        <v>305</v>
      </c>
      <c r="C102" s="218" t="s">
        <v>113</v>
      </c>
      <c r="D102" s="226" t="s">
        <v>393</v>
      </c>
      <c r="E102" s="226" t="s">
        <v>98</v>
      </c>
      <c r="F102" s="226" t="s">
        <v>98</v>
      </c>
      <c r="G102" s="226" t="s">
        <v>100</v>
      </c>
      <c r="H102" s="250">
        <v>800</v>
      </c>
      <c r="I102" s="109" t="s">
        <v>203</v>
      </c>
      <c r="J102" s="255" t="s">
        <v>206</v>
      </c>
      <c r="K102" s="218"/>
      <c r="L102" s="25">
        <v>12.8</v>
      </c>
      <c r="M102" s="25">
        <v>20</v>
      </c>
      <c r="N102" s="25">
        <v>14.4</v>
      </c>
      <c r="O102" s="25">
        <f>P102</f>
        <v>36.9</v>
      </c>
      <c r="P102" s="25">
        <v>36.9</v>
      </c>
      <c r="Q102" s="25"/>
      <c r="R102" s="25">
        <f>S102</f>
        <v>36.6</v>
      </c>
      <c r="S102" s="25">
        <v>36.6</v>
      </c>
      <c r="T102" s="25"/>
      <c r="U102" s="25">
        <f>V102</f>
        <v>36.9</v>
      </c>
      <c r="V102" s="25">
        <v>36.9</v>
      </c>
      <c r="W102" s="25"/>
    </row>
    <row r="103" spans="1:23" s="13" customFormat="1" ht="56.25">
      <c r="A103" s="12" t="s">
        <v>1098</v>
      </c>
      <c r="B103" s="98" t="s">
        <v>361</v>
      </c>
      <c r="C103" s="8"/>
      <c r="D103" s="644"/>
      <c r="E103" s="644"/>
      <c r="F103" s="644"/>
      <c r="G103" s="644"/>
      <c r="H103" s="644"/>
      <c r="I103" s="8"/>
      <c r="J103" s="8"/>
      <c r="K103" s="8" t="s">
        <v>62</v>
      </c>
      <c r="L103" s="19">
        <f>SUM(L104,)</f>
        <v>46256</v>
      </c>
      <c r="M103" s="19">
        <f t="shared" ref="M103:W103" si="41">SUM(M104,)</f>
        <v>43157.999999999993</v>
      </c>
      <c r="N103" s="19">
        <f t="shared" si="41"/>
        <v>22358.7</v>
      </c>
      <c r="O103" s="19">
        <f t="shared" si="41"/>
        <v>34394.9</v>
      </c>
      <c r="P103" s="19">
        <f t="shared" si="41"/>
        <v>34394.9</v>
      </c>
      <c r="Q103" s="19">
        <f t="shared" si="41"/>
        <v>0</v>
      </c>
      <c r="R103" s="19">
        <f t="shared" si="41"/>
        <v>34076.5</v>
      </c>
      <c r="S103" s="19">
        <f t="shared" si="41"/>
        <v>34076.5</v>
      </c>
      <c r="T103" s="19">
        <f t="shared" si="41"/>
        <v>0</v>
      </c>
      <c r="U103" s="19">
        <f t="shared" si="41"/>
        <v>34419.5</v>
      </c>
      <c r="V103" s="19">
        <f t="shared" si="41"/>
        <v>34419.5</v>
      </c>
      <c r="W103" s="19">
        <f t="shared" si="41"/>
        <v>0</v>
      </c>
    </row>
    <row r="104" spans="1:23" s="559" customFormat="1">
      <c r="A104" s="630" t="s">
        <v>9</v>
      </c>
      <c r="B104" s="421" t="s">
        <v>67</v>
      </c>
      <c r="C104" s="421"/>
      <c r="D104" s="421"/>
      <c r="E104" s="421"/>
      <c r="F104" s="421"/>
      <c r="G104" s="421"/>
      <c r="H104" s="421"/>
      <c r="I104" s="421"/>
      <c r="J104" s="421"/>
      <c r="K104" s="421"/>
      <c r="L104" s="20">
        <f>SUM(L105,L110)</f>
        <v>46256</v>
      </c>
      <c r="M104" s="20">
        <f t="shared" ref="M104:W104" si="42">SUM(M105,M110)</f>
        <v>43157.999999999993</v>
      </c>
      <c r="N104" s="20">
        <f t="shared" si="42"/>
        <v>22358.7</v>
      </c>
      <c r="O104" s="20">
        <f t="shared" si="42"/>
        <v>34394.9</v>
      </c>
      <c r="P104" s="20">
        <f t="shared" si="42"/>
        <v>34394.9</v>
      </c>
      <c r="Q104" s="20">
        <f t="shared" si="42"/>
        <v>0</v>
      </c>
      <c r="R104" s="20">
        <f t="shared" si="42"/>
        <v>34076.5</v>
      </c>
      <c r="S104" s="20">
        <f t="shared" si="42"/>
        <v>34076.5</v>
      </c>
      <c r="T104" s="20">
        <f t="shared" si="42"/>
        <v>0</v>
      </c>
      <c r="U104" s="20">
        <f t="shared" si="42"/>
        <v>34419.5</v>
      </c>
      <c r="V104" s="20">
        <f t="shared" si="42"/>
        <v>34419.5</v>
      </c>
      <c r="W104" s="20">
        <f t="shared" si="42"/>
        <v>0</v>
      </c>
    </row>
    <row r="105" spans="1:23" s="4" customFormat="1" ht="19.899999999999999" customHeight="1">
      <c r="A105" s="133" t="s">
        <v>57</v>
      </c>
      <c r="B105" s="229"/>
      <c r="C105" s="41"/>
      <c r="D105" s="218"/>
      <c r="E105" s="250"/>
      <c r="F105" s="250"/>
      <c r="G105" s="250"/>
      <c r="H105" s="250"/>
      <c r="I105" s="252"/>
      <c r="J105" s="41"/>
      <c r="K105" s="218"/>
      <c r="L105" s="22">
        <f>SUM(L106:L109)</f>
        <v>6458.5999999999995</v>
      </c>
      <c r="M105" s="22">
        <f t="shared" ref="M105:W105" si="43">SUM(M106:M109)</f>
        <v>6955.5999999999995</v>
      </c>
      <c r="N105" s="22">
        <f t="shared" si="43"/>
        <v>4256.3</v>
      </c>
      <c r="O105" s="22">
        <f t="shared" si="43"/>
        <v>7299.8</v>
      </c>
      <c r="P105" s="22">
        <f t="shared" si="43"/>
        <v>7299.8</v>
      </c>
      <c r="Q105" s="22">
        <f t="shared" si="43"/>
        <v>0</v>
      </c>
      <c r="R105" s="22">
        <f t="shared" si="43"/>
        <v>7232.1</v>
      </c>
      <c r="S105" s="22">
        <f t="shared" si="43"/>
        <v>7232.1</v>
      </c>
      <c r="T105" s="22">
        <f t="shared" si="43"/>
        <v>0</v>
      </c>
      <c r="U105" s="22">
        <f t="shared" si="43"/>
        <v>7305</v>
      </c>
      <c r="V105" s="22">
        <f t="shared" si="43"/>
        <v>7305</v>
      </c>
      <c r="W105" s="22">
        <f t="shared" si="43"/>
        <v>0</v>
      </c>
    </row>
    <row r="106" spans="1:23" s="4" customFormat="1" ht="37.5" customHeight="1">
      <c r="A106" s="225" t="s">
        <v>10</v>
      </c>
      <c r="B106" s="229" t="s">
        <v>68</v>
      </c>
      <c r="C106" s="226"/>
      <c r="D106" s="226" t="s">
        <v>1240</v>
      </c>
      <c r="E106" s="226" t="s">
        <v>92</v>
      </c>
      <c r="F106" s="226" t="s">
        <v>93</v>
      </c>
      <c r="G106" s="226" t="s">
        <v>1241</v>
      </c>
      <c r="H106" s="226">
        <v>100</v>
      </c>
      <c r="I106" s="546" t="s">
        <v>115</v>
      </c>
      <c r="J106" s="214" t="s">
        <v>362</v>
      </c>
      <c r="K106" s="218"/>
      <c r="L106" s="25">
        <v>5445.2</v>
      </c>
      <c r="M106" s="25">
        <v>5839.9</v>
      </c>
      <c r="N106" s="25">
        <v>3662.8</v>
      </c>
      <c r="O106" s="25">
        <f>SUM(P106:Q106)</f>
        <v>6476.8</v>
      </c>
      <c r="P106" s="25">
        <v>6476.8</v>
      </c>
      <c r="Q106" s="25">
        <v>0</v>
      </c>
      <c r="R106" s="25">
        <f>SUM(S106:T106)</f>
        <v>6416.8</v>
      </c>
      <c r="S106" s="25">
        <v>6416.8</v>
      </c>
      <c r="T106" s="25">
        <v>0</v>
      </c>
      <c r="U106" s="25">
        <f>SUM(V106:W106)</f>
        <v>6481.5</v>
      </c>
      <c r="V106" s="25">
        <v>6481.5</v>
      </c>
      <c r="W106" s="25">
        <v>0</v>
      </c>
    </row>
    <row r="107" spans="1:23" s="4" customFormat="1" ht="37.5" customHeight="1">
      <c r="A107" s="225" t="s">
        <v>11</v>
      </c>
      <c r="B107" s="229"/>
      <c r="C107" s="226"/>
      <c r="D107" s="226" t="s">
        <v>383</v>
      </c>
      <c r="E107" s="226" t="s">
        <v>92</v>
      </c>
      <c r="F107" s="226" t="s">
        <v>93</v>
      </c>
      <c r="G107" s="226" t="s">
        <v>986</v>
      </c>
      <c r="H107" s="226" t="s">
        <v>1242</v>
      </c>
      <c r="I107" s="547"/>
      <c r="J107" s="215"/>
      <c r="K107" s="218"/>
      <c r="L107" s="25">
        <v>80</v>
      </c>
      <c r="M107" s="25"/>
      <c r="N107" s="25"/>
      <c r="O107" s="25"/>
      <c r="P107" s="25"/>
      <c r="Q107" s="25"/>
      <c r="R107" s="25"/>
      <c r="S107" s="25"/>
      <c r="T107" s="25"/>
      <c r="U107" s="25"/>
      <c r="V107" s="25"/>
      <c r="W107" s="25"/>
    </row>
    <row r="108" spans="1:23" s="4" customFormat="1" ht="43.9" customHeight="1">
      <c r="A108" s="225" t="s">
        <v>20</v>
      </c>
      <c r="B108" s="229" t="s">
        <v>69</v>
      </c>
      <c r="C108" s="226"/>
      <c r="D108" s="226" t="s">
        <v>349</v>
      </c>
      <c r="E108" s="226" t="s">
        <v>92</v>
      </c>
      <c r="F108" s="226" t="s">
        <v>93</v>
      </c>
      <c r="G108" s="226">
        <v>7770100190</v>
      </c>
      <c r="H108" s="226">
        <v>200</v>
      </c>
      <c r="I108" s="547"/>
      <c r="J108" s="216"/>
      <c r="K108" s="217"/>
      <c r="L108" s="25">
        <v>881.4</v>
      </c>
      <c r="M108" s="25">
        <v>937.2</v>
      </c>
      <c r="N108" s="25">
        <v>415</v>
      </c>
      <c r="O108" s="25">
        <f>SUM(P108:Q108)</f>
        <v>823</v>
      </c>
      <c r="P108" s="25">
        <v>823</v>
      </c>
      <c r="Q108" s="25">
        <v>0</v>
      </c>
      <c r="R108" s="25">
        <f>SUM(S108:T108)</f>
        <v>815.3</v>
      </c>
      <c r="S108" s="25">
        <v>815.3</v>
      </c>
      <c r="T108" s="25">
        <v>0</v>
      </c>
      <c r="U108" s="25">
        <f>SUM(V108:W108)</f>
        <v>823.5</v>
      </c>
      <c r="V108" s="25">
        <v>823.5</v>
      </c>
      <c r="W108" s="25">
        <v>0</v>
      </c>
    </row>
    <row r="109" spans="1:23" s="4" customFormat="1" ht="21" customHeight="1">
      <c r="A109" s="225" t="s">
        <v>175</v>
      </c>
      <c r="B109" s="229" t="s">
        <v>31</v>
      </c>
      <c r="C109" s="226"/>
      <c r="D109" s="226" t="s">
        <v>1147</v>
      </c>
      <c r="E109" s="226" t="s">
        <v>92</v>
      </c>
      <c r="F109" s="226">
        <v>13</v>
      </c>
      <c r="G109" s="226" t="s">
        <v>94</v>
      </c>
      <c r="H109" s="226">
        <v>800</v>
      </c>
      <c r="I109" s="589"/>
      <c r="J109" s="221"/>
      <c r="K109" s="217"/>
      <c r="L109" s="25">
        <v>52</v>
      </c>
      <c r="M109" s="25">
        <v>178.5</v>
      </c>
      <c r="N109" s="25">
        <v>178.5</v>
      </c>
      <c r="O109" s="25">
        <f>SUM(P109:Q109)</f>
        <v>0</v>
      </c>
      <c r="P109" s="25">
        <v>0</v>
      </c>
      <c r="Q109" s="25">
        <v>0</v>
      </c>
      <c r="R109" s="25">
        <f>SUM(S109:T109)</f>
        <v>0</v>
      </c>
      <c r="S109" s="25">
        <v>0</v>
      </c>
      <c r="T109" s="25">
        <v>0</v>
      </c>
      <c r="U109" s="25">
        <f>SUM(V109:W109)</f>
        <v>0</v>
      </c>
      <c r="V109" s="25">
        <v>0</v>
      </c>
      <c r="W109" s="25">
        <v>0</v>
      </c>
    </row>
    <row r="110" spans="1:23" s="4" customFormat="1" ht="36.6" customHeight="1">
      <c r="A110" s="590" t="s">
        <v>88</v>
      </c>
      <c r="B110" s="591"/>
      <c r="C110" s="591"/>
      <c r="D110" s="591"/>
      <c r="E110" s="591"/>
      <c r="F110" s="591"/>
      <c r="G110" s="591"/>
      <c r="H110" s="591"/>
      <c r="I110" s="591"/>
      <c r="J110" s="591"/>
      <c r="K110" s="592"/>
      <c r="L110" s="22">
        <f>SUM(L111,L115,L132)</f>
        <v>39797.4</v>
      </c>
      <c r="M110" s="22">
        <f t="shared" ref="M110:W110" si="44">SUM(M111,M115,M132)</f>
        <v>36202.399999999994</v>
      </c>
      <c r="N110" s="22">
        <f t="shared" si="44"/>
        <v>18102.400000000001</v>
      </c>
      <c r="O110" s="22">
        <f t="shared" si="44"/>
        <v>27095.100000000002</v>
      </c>
      <c r="P110" s="22">
        <f t="shared" si="44"/>
        <v>27095.100000000002</v>
      </c>
      <c r="Q110" s="22">
        <f t="shared" si="44"/>
        <v>0</v>
      </c>
      <c r="R110" s="22">
        <f t="shared" si="44"/>
        <v>26844.400000000001</v>
      </c>
      <c r="S110" s="22">
        <f t="shared" si="44"/>
        <v>26844.400000000001</v>
      </c>
      <c r="T110" s="22">
        <f t="shared" si="44"/>
        <v>0</v>
      </c>
      <c r="U110" s="22">
        <f t="shared" si="44"/>
        <v>27114.499999999996</v>
      </c>
      <c r="V110" s="22">
        <f t="shared" si="44"/>
        <v>27114.499999999996</v>
      </c>
      <c r="W110" s="22">
        <f t="shared" si="44"/>
        <v>0</v>
      </c>
    </row>
    <row r="111" spans="1:23" s="4" customFormat="1" ht="31.9" customHeight="1">
      <c r="A111" s="225" t="s">
        <v>12</v>
      </c>
      <c r="B111" s="229" t="s">
        <v>58</v>
      </c>
      <c r="C111" s="218"/>
      <c r="D111" s="218"/>
      <c r="E111" s="250"/>
      <c r="F111" s="250"/>
      <c r="G111" s="250"/>
      <c r="H111" s="250">
        <v>100</v>
      </c>
      <c r="I111" s="252"/>
      <c r="J111" s="218"/>
      <c r="K111" s="218"/>
      <c r="L111" s="25">
        <f>SUM(L112:L114)</f>
        <v>14875.5</v>
      </c>
      <c r="M111" s="25">
        <f t="shared" ref="M111:W111" si="45">SUM(M112:M114)</f>
        <v>14171</v>
      </c>
      <c r="N111" s="25">
        <f t="shared" si="45"/>
        <v>9925.7000000000007</v>
      </c>
      <c r="O111" s="25">
        <f t="shared" si="45"/>
        <v>17167.900000000001</v>
      </c>
      <c r="P111" s="25">
        <f t="shared" si="45"/>
        <v>17167.900000000001</v>
      </c>
      <c r="Q111" s="25">
        <f t="shared" si="45"/>
        <v>0</v>
      </c>
      <c r="R111" s="25">
        <f t="shared" si="45"/>
        <v>17008.900000000001</v>
      </c>
      <c r="S111" s="25">
        <f t="shared" si="45"/>
        <v>17008.900000000001</v>
      </c>
      <c r="T111" s="25">
        <f t="shared" si="45"/>
        <v>0</v>
      </c>
      <c r="U111" s="25">
        <f t="shared" si="45"/>
        <v>17180.3</v>
      </c>
      <c r="V111" s="25">
        <f t="shared" si="45"/>
        <v>17180.3</v>
      </c>
      <c r="W111" s="25">
        <f t="shared" si="45"/>
        <v>0</v>
      </c>
    </row>
    <row r="112" spans="1:23" s="4" customFormat="1" ht="127.5">
      <c r="A112" s="225" t="s">
        <v>48</v>
      </c>
      <c r="B112" s="229" t="s">
        <v>310</v>
      </c>
      <c r="C112" s="226" t="s">
        <v>988</v>
      </c>
      <c r="D112" s="226" t="s">
        <v>403</v>
      </c>
      <c r="E112" s="226" t="s">
        <v>95</v>
      </c>
      <c r="F112" s="226">
        <v>10</v>
      </c>
      <c r="G112" s="226">
        <v>2020100590</v>
      </c>
      <c r="H112" s="226">
        <v>100</v>
      </c>
      <c r="I112" s="146" t="s">
        <v>116</v>
      </c>
      <c r="J112" s="226" t="s">
        <v>363</v>
      </c>
      <c r="K112" s="218"/>
      <c r="L112" s="25">
        <v>9536.5</v>
      </c>
      <c r="M112" s="25">
        <v>9320.6</v>
      </c>
      <c r="N112" s="25">
        <v>6330.9</v>
      </c>
      <c r="O112" s="25">
        <f>SUM(P112:Q112)</f>
        <v>11081.4</v>
      </c>
      <c r="P112" s="25">
        <v>11081.4</v>
      </c>
      <c r="Q112" s="25">
        <v>0</v>
      </c>
      <c r="R112" s="25">
        <f>SUM(S112:T112)</f>
        <v>10978.8</v>
      </c>
      <c r="S112" s="25">
        <v>10978.8</v>
      </c>
      <c r="T112" s="25">
        <v>0</v>
      </c>
      <c r="U112" s="25">
        <f>SUM(V112:W112)</f>
        <v>11089.4</v>
      </c>
      <c r="V112" s="25">
        <v>11089.4</v>
      </c>
      <c r="W112" s="25">
        <v>0</v>
      </c>
    </row>
    <row r="113" spans="1:23" s="4" customFormat="1" ht="112.5">
      <c r="A113" s="225" t="s">
        <v>65</v>
      </c>
      <c r="B113" s="229" t="s">
        <v>1243</v>
      </c>
      <c r="C113" s="218" t="s">
        <v>988</v>
      </c>
      <c r="D113" s="226" t="s">
        <v>393</v>
      </c>
      <c r="E113" s="226" t="s">
        <v>98</v>
      </c>
      <c r="F113" s="226" t="s">
        <v>98</v>
      </c>
      <c r="G113" s="226" t="s">
        <v>100</v>
      </c>
      <c r="H113" s="250">
        <v>100</v>
      </c>
      <c r="I113" s="236" t="s">
        <v>118</v>
      </c>
      <c r="J113" s="218" t="s">
        <v>364</v>
      </c>
      <c r="K113" s="218"/>
      <c r="L113" s="25">
        <v>5339</v>
      </c>
      <c r="M113" s="25">
        <v>4850.3999999999996</v>
      </c>
      <c r="N113" s="25">
        <v>3594.8</v>
      </c>
      <c r="O113" s="25">
        <f>SUM(P113:Q113)</f>
        <v>6086.5</v>
      </c>
      <c r="P113" s="25">
        <v>6086.5</v>
      </c>
      <c r="Q113" s="25">
        <v>0</v>
      </c>
      <c r="R113" s="25">
        <f>SUM(S113:T113)</f>
        <v>6030.1</v>
      </c>
      <c r="S113" s="25">
        <v>6030.1</v>
      </c>
      <c r="T113" s="25">
        <v>0</v>
      </c>
      <c r="U113" s="25">
        <f>SUM(V113:W113)</f>
        <v>6090.9</v>
      </c>
      <c r="V113" s="25">
        <v>6090.9</v>
      </c>
      <c r="W113" s="25">
        <v>0</v>
      </c>
    </row>
    <row r="114" spans="1:23" s="4" customFormat="1" ht="21.75" customHeight="1">
      <c r="A114" s="225" t="s">
        <v>66</v>
      </c>
      <c r="B114" s="229" t="s">
        <v>1226</v>
      </c>
      <c r="C114" s="218"/>
      <c r="D114" s="218"/>
      <c r="E114" s="250"/>
      <c r="F114" s="250"/>
      <c r="G114" s="250"/>
      <c r="H114" s="250">
        <v>100</v>
      </c>
      <c r="I114" s="252"/>
      <c r="J114" s="218"/>
      <c r="K114" s="218"/>
      <c r="L114" s="25">
        <v>0</v>
      </c>
      <c r="M114" s="25">
        <v>0</v>
      </c>
      <c r="N114" s="25">
        <v>0</v>
      </c>
      <c r="O114" s="25">
        <f>SUM(P114:Q114)</f>
        <v>0</v>
      </c>
      <c r="P114" s="25">
        <v>0</v>
      </c>
      <c r="Q114" s="25">
        <v>0</v>
      </c>
      <c r="R114" s="25">
        <f>SUM(S114:T114)</f>
        <v>0</v>
      </c>
      <c r="S114" s="25">
        <v>0</v>
      </c>
      <c r="T114" s="25">
        <v>0</v>
      </c>
      <c r="U114" s="25">
        <f>SUM(V114:W114)</f>
        <v>0</v>
      </c>
      <c r="V114" s="25">
        <v>0</v>
      </c>
      <c r="W114" s="25">
        <v>0</v>
      </c>
    </row>
    <row r="115" spans="1:23" s="4" customFormat="1" ht="39.75" customHeight="1">
      <c r="A115" s="225" t="s">
        <v>13</v>
      </c>
      <c r="B115" s="229" t="s">
        <v>32</v>
      </c>
      <c r="C115" s="252"/>
      <c r="D115" s="217"/>
      <c r="E115" s="250"/>
      <c r="F115" s="250"/>
      <c r="G115" s="250"/>
      <c r="H115" s="250">
        <v>200</v>
      </c>
      <c r="I115" s="252"/>
      <c r="J115" s="252"/>
      <c r="K115" s="217"/>
      <c r="L115" s="25">
        <f>SUM(L116:L131)</f>
        <v>24906.499999999996</v>
      </c>
      <c r="M115" s="25">
        <f t="shared" ref="M115:W115" si="46">SUM(M116:M131)</f>
        <v>22002.699999999997</v>
      </c>
      <c r="N115" s="25">
        <f t="shared" si="46"/>
        <v>8163.5000000000009</v>
      </c>
      <c r="O115" s="25">
        <f t="shared" si="46"/>
        <v>9907.4000000000015</v>
      </c>
      <c r="P115" s="25">
        <f t="shared" si="46"/>
        <v>9907.4000000000015</v>
      </c>
      <c r="Q115" s="25">
        <f t="shared" si="46"/>
        <v>0</v>
      </c>
      <c r="R115" s="25">
        <f t="shared" si="46"/>
        <v>9815.9000000000015</v>
      </c>
      <c r="S115" s="25">
        <f t="shared" si="46"/>
        <v>9815.9000000000015</v>
      </c>
      <c r="T115" s="25">
        <f t="shared" si="46"/>
        <v>0</v>
      </c>
      <c r="U115" s="25">
        <f t="shared" si="46"/>
        <v>9914.3999999999978</v>
      </c>
      <c r="V115" s="25">
        <f t="shared" si="46"/>
        <v>9914.3999999999978</v>
      </c>
      <c r="W115" s="25">
        <f t="shared" si="46"/>
        <v>0</v>
      </c>
    </row>
    <row r="116" spans="1:23" s="4" customFormat="1" ht="21.75" customHeight="1">
      <c r="A116" s="225" t="s">
        <v>49</v>
      </c>
      <c r="B116" s="229" t="s">
        <v>1244</v>
      </c>
      <c r="C116" s="226" t="s">
        <v>130</v>
      </c>
      <c r="D116" s="226" t="s">
        <v>403</v>
      </c>
      <c r="E116" s="226" t="s">
        <v>95</v>
      </c>
      <c r="F116" s="226" t="s">
        <v>80</v>
      </c>
      <c r="G116" s="226" t="s">
        <v>96</v>
      </c>
      <c r="H116" s="250">
        <v>200</v>
      </c>
      <c r="I116" s="226" t="s">
        <v>116</v>
      </c>
      <c r="J116" s="252"/>
      <c r="K116" s="217"/>
      <c r="L116" s="25">
        <v>1531</v>
      </c>
      <c r="M116" s="25">
        <v>2228.6999999999998</v>
      </c>
      <c r="N116" s="25">
        <v>1339.8</v>
      </c>
      <c r="O116" s="25">
        <f>SUM(P116:Q116)</f>
        <v>2333.5</v>
      </c>
      <c r="P116" s="25">
        <v>2333.5</v>
      </c>
      <c r="Q116" s="25">
        <v>0</v>
      </c>
      <c r="R116" s="25">
        <f>SUM(S116:T116)</f>
        <v>2311.9</v>
      </c>
      <c r="S116" s="25">
        <v>2311.9</v>
      </c>
      <c r="T116" s="25">
        <v>0</v>
      </c>
      <c r="U116" s="25">
        <f>SUM(V116:W116)</f>
        <v>2335.1</v>
      </c>
      <c r="V116" s="25">
        <v>2335.1</v>
      </c>
      <c r="W116" s="25">
        <v>0</v>
      </c>
    </row>
    <row r="117" spans="1:23" s="4" customFormat="1" ht="21.75" customHeight="1">
      <c r="A117" s="225" t="s">
        <v>70</v>
      </c>
      <c r="B117" s="229" t="s">
        <v>1244</v>
      </c>
      <c r="C117" s="226" t="s">
        <v>421</v>
      </c>
      <c r="D117" s="226" t="s">
        <v>403</v>
      </c>
      <c r="E117" s="226" t="s">
        <v>95</v>
      </c>
      <c r="F117" s="226" t="s">
        <v>80</v>
      </c>
      <c r="G117" s="226" t="s">
        <v>422</v>
      </c>
      <c r="H117" s="250">
        <v>200</v>
      </c>
      <c r="I117" s="226" t="s">
        <v>116</v>
      </c>
      <c r="J117" s="218"/>
      <c r="K117" s="218"/>
      <c r="L117" s="25">
        <v>270.8</v>
      </c>
      <c r="M117" s="25">
        <v>300</v>
      </c>
      <c r="N117" s="25">
        <v>0</v>
      </c>
      <c r="O117" s="25">
        <f>SUM(P117:Q117)</f>
        <v>282.39999999999998</v>
      </c>
      <c r="P117" s="25">
        <v>282.39999999999998</v>
      </c>
      <c r="Q117" s="25">
        <v>0</v>
      </c>
      <c r="R117" s="25">
        <f>SUM(S117:T117)</f>
        <v>279.8</v>
      </c>
      <c r="S117" s="25">
        <v>279.8</v>
      </c>
      <c r="T117" s="25">
        <v>0</v>
      </c>
      <c r="U117" s="25">
        <f>SUM(V117:W117)</f>
        <v>282.60000000000002</v>
      </c>
      <c r="V117" s="25">
        <v>282.60000000000002</v>
      </c>
      <c r="W117" s="25">
        <v>0</v>
      </c>
    </row>
    <row r="118" spans="1:23" s="4" customFormat="1" ht="21.75" customHeight="1">
      <c r="A118" s="225" t="s">
        <v>71</v>
      </c>
      <c r="B118" s="229" t="s">
        <v>1244</v>
      </c>
      <c r="C118" s="226" t="s">
        <v>117</v>
      </c>
      <c r="D118" s="226" t="s">
        <v>403</v>
      </c>
      <c r="E118" s="226" t="s">
        <v>95</v>
      </c>
      <c r="F118" s="226" t="s">
        <v>80</v>
      </c>
      <c r="G118" s="226" t="s">
        <v>184</v>
      </c>
      <c r="H118" s="250">
        <v>200</v>
      </c>
      <c r="I118" s="226" t="s">
        <v>116</v>
      </c>
      <c r="J118" s="218"/>
      <c r="K118" s="218"/>
      <c r="L118" s="25">
        <v>1796.8</v>
      </c>
      <c r="M118" s="25">
        <v>910</v>
      </c>
      <c r="N118" s="25">
        <v>85.5</v>
      </c>
      <c r="O118" s="25">
        <f>SUM(P118:Q118)</f>
        <v>962</v>
      </c>
      <c r="P118" s="25">
        <v>962</v>
      </c>
      <c r="Q118" s="25">
        <v>0</v>
      </c>
      <c r="R118" s="25">
        <f>SUM(S118:T118)</f>
        <v>953.1</v>
      </c>
      <c r="S118" s="25">
        <v>953.1</v>
      </c>
      <c r="T118" s="25">
        <v>0</v>
      </c>
      <c r="U118" s="25">
        <f>SUM(V118:W118)</f>
        <v>962.7</v>
      </c>
      <c r="V118" s="25">
        <v>962.7</v>
      </c>
      <c r="W118" s="25">
        <v>0</v>
      </c>
    </row>
    <row r="119" spans="1:23" s="4" customFormat="1" ht="21.75" customHeight="1">
      <c r="A119" s="225" t="s">
        <v>1245</v>
      </c>
      <c r="B119" s="229" t="s">
        <v>246</v>
      </c>
      <c r="C119" s="226" t="s">
        <v>365</v>
      </c>
      <c r="D119" s="226" t="s">
        <v>394</v>
      </c>
      <c r="E119" s="226" t="s">
        <v>93</v>
      </c>
      <c r="F119" s="226" t="s">
        <v>97</v>
      </c>
      <c r="G119" s="226" t="s">
        <v>185</v>
      </c>
      <c r="H119" s="250">
        <v>200</v>
      </c>
      <c r="I119" s="216" t="s">
        <v>118</v>
      </c>
      <c r="J119" s="218" t="s">
        <v>366</v>
      </c>
      <c r="K119" s="218"/>
      <c r="L119" s="25">
        <v>2307.6999999999998</v>
      </c>
      <c r="M119" s="25">
        <v>1338.3</v>
      </c>
      <c r="N119" s="25">
        <v>945</v>
      </c>
      <c r="O119" s="25">
        <f>SUM(P119:Q119)</f>
        <v>1166.2</v>
      </c>
      <c r="P119" s="25">
        <v>1166.2</v>
      </c>
      <c r="Q119" s="25">
        <v>0</v>
      </c>
      <c r="R119" s="25">
        <f>SUM(S119:T119)</f>
        <v>1155.4000000000001</v>
      </c>
      <c r="S119" s="25">
        <v>1155.4000000000001</v>
      </c>
      <c r="T119" s="25">
        <v>0</v>
      </c>
      <c r="U119" s="25">
        <f>SUM(V119:W119)</f>
        <v>1167</v>
      </c>
      <c r="V119" s="25">
        <v>1167</v>
      </c>
      <c r="W119" s="25">
        <v>0</v>
      </c>
    </row>
    <row r="120" spans="1:23" s="4" customFormat="1" ht="21.75" customHeight="1">
      <c r="A120" s="225" t="s">
        <v>1246</v>
      </c>
      <c r="B120" s="229" t="s">
        <v>246</v>
      </c>
      <c r="C120" s="226" t="s">
        <v>1247</v>
      </c>
      <c r="D120" s="226" t="s">
        <v>394</v>
      </c>
      <c r="E120" s="226" t="s">
        <v>93</v>
      </c>
      <c r="F120" s="226" t="s">
        <v>97</v>
      </c>
      <c r="G120" s="226" t="s">
        <v>162</v>
      </c>
      <c r="H120" s="250">
        <v>200</v>
      </c>
      <c r="I120" s="216" t="s">
        <v>118</v>
      </c>
      <c r="J120" s="218" t="s">
        <v>1099</v>
      </c>
      <c r="K120" s="218"/>
      <c r="L120" s="25">
        <v>37.700000000000003</v>
      </c>
      <c r="M120" s="25">
        <v>68.3</v>
      </c>
      <c r="N120" s="25">
        <v>68.3</v>
      </c>
      <c r="O120" s="25">
        <f t="shared" ref="O120:O122" si="47">SUM(P120:Q120)</f>
        <v>64.400000000000006</v>
      </c>
      <c r="P120" s="25">
        <v>64.400000000000006</v>
      </c>
      <c r="Q120" s="25">
        <v>0</v>
      </c>
      <c r="R120" s="25">
        <f t="shared" ref="R120:R122" si="48">SUM(S120:T120)</f>
        <v>63.8</v>
      </c>
      <c r="S120" s="25">
        <v>63.8</v>
      </c>
      <c r="T120" s="25">
        <v>0</v>
      </c>
      <c r="U120" s="25">
        <f t="shared" ref="U120:U122" si="49">SUM(V120:W120)</f>
        <v>64.400000000000006</v>
      </c>
      <c r="V120" s="25">
        <v>64.400000000000006</v>
      </c>
      <c r="W120" s="25">
        <v>0</v>
      </c>
    </row>
    <row r="121" spans="1:23" s="4" customFormat="1" ht="21" customHeight="1">
      <c r="A121" s="225" t="s">
        <v>269</v>
      </c>
      <c r="B121" s="229" t="s">
        <v>246</v>
      </c>
      <c r="C121" s="226" t="s">
        <v>1248</v>
      </c>
      <c r="D121" s="226" t="s">
        <v>394</v>
      </c>
      <c r="E121" s="226" t="s">
        <v>93</v>
      </c>
      <c r="F121" s="226" t="s">
        <v>97</v>
      </c>
      <c r="G121" s="250" t="s">
        <v>123</v>
      </c>
      <c r="H121" s="250">
        <v>200</v>
      </c>
      <c r="I121" s="217" t="s">
        <v>118</v>
      </c>
      <c r="J121" s="252" t="s">
        <v>366</v>
      </c>
      <c r="K121" s="217"/>
      <c r="L121" s="25">
        <v>1622.9</v>
      </c>
      <c r="M121" s="25">
        <v>8593.2999999999993</v>
      </c>
      <c r="N121" s="25">
        <v>0</v>
      </c>
      <c r="O121" s="25">
        <f t="shared" si="47"/>
        <v>0</v>
      </c>
      <c r="P121" s="25">
        <v>0</v>
      </c>
      <c r="Q121" s="25">
        <v>0</v>
      </c>
      <c r="R121" s="25">
        <f t="shared" si="48"/>
        <v>0</v>
      </c>
      <c r="S121" s="25">
        <v>0</v>
      </c>
      <c r="T121" s="25">
        <v>0</v>
      </c>
      <c r="U121" s="25">
        <f t="shared" si="49"/>
        <v>0</v>
      </c>
      <c r="V121" s="25">
        <v>0</v>
      </c>
      <c r="W121" s="25">
        <f>SUM(W125:W126)</f>
        <v>0</v>
      </c>
    </row>
    <row r="122" spans="1:23" s="4" customFormat="1" ht="21" customHeight="1">
      <c r="A122" s="225" t="s">
        <v>270</v>
      </c>
      <c r="B122" s="229" t="s">
        <v>246</v>
      </c>
      <c r="C122" s="226" t="s">
        <v>1249</v>
      </c>
      <c r="D122" s="226" t="s">
        <v>394</v>
      </c>
      <c r="E122" s="226" t="s">
        <v>93</v>
      </c>
      <c r="F122" s="226" t="s">
        <v>97</v>
      </c>
      <c r="G122" s="226" t="s">
        <v>1178</v>
      </c>
      <c r="H122" s="250">
        <v>200</v>
      </c>
      <c r="I122" s="217" t="s">
        <v>118</v>
      </c>
      <c r="J122" s="252"/>
      <c r="K122" s="217"/>
      <c r="L122" s="25">
        <v>8235</v>
      </c>
      <c r="M122" s="25">
        <v>0</v>
      </c>
      <c r="N122" s="25">
        <v>0</v>
      </c>
      <c r="O122" s="25">
        <f t="shared" si="47"/>
        <v>0</v>
      </c>
      <c r="P122" s="25">
        <v>0</v>
      </c>
      <c r="Q122" s="25">
        <v>0</v>
      </c>
      <c r="R122" s="25">
        <f t="shared" si="48"/>
        <v>0</v>
      </c>
      <c r="S122" s="25">
        <v>0</v>
      </c>
      <c r="T122" s="25">
        <v>0</v>
      </c>
      <c r="U122" s="25">
        <f t="shared" si="49"/>
        <v>0</v>
      </c>
      <c r="V122" s="25">
        <v>0</v>
      </c>
      <c r="W122" s="25">
        <v>0</v>
      </c>
    </row>
    <row r="123" spans="1:23" s="4" customFormat="1" ht="21.75" customHeight="1">
      <c r="A123" s="225" t="s">
        <v>282</v>
      </c>
      <c r="B123" s="229" t="s">
        <v>246</v>
      </c>
      <c r="C123" s="226" t="s">
        <v>1016</v>
      </c>
      <c r="D123" s="226" t="s">
        <v>394</v>
      </c>
      <c r="E123" s="226" t="s">
        <v>93</v>
      </c>
      <c r="F123" s="226" t="s">
        <v>97</v>
      </c>
      <c r="G123" s="226" t="s">
        <v>108</v>
      </c>
      <c r="H123" s="250">
        <v>200</v>
      </c>
      <c r="I123" s="216" t="s">
        <v>118</v>
      </c>
      <c r="J123" s="218" t="s">
        <v>366</v>
      </c>
      <c r="K123" s="218"/>
      <c r="L123" s="25">
        <v>614.6</v>
      </c>
      <c r="M123" s="25">
        <v>1166</v>
      </c>
      <c r="N123" s="25">
        <v>1166</v>
      </c>
      <c r="O123" s="25">
        <f>SUM(P123:Q123)</f>
        <v>0</v>
      </c>
      <c r="P123" s="25">
        <v>0</v>
      </c>
      <c r="Q123" s="25">
        <v>0</v>
      </c>
      <c r="R123" s="25">
        <f>SUM(S123:T123)</f>
        <v>0</v>
      </c>
      <c r="S123" s="25">
        <v>0</v>
      </c>
      <c r="T123" s="25">
        <v>0</v>
      </c>
      <c r="U123" s="25">
        <f>SUM(V123:W123)</f>
        <v>0</v>
      </c>
      <c r="V123" s="25">
        <v>0</v>
      </c>
      <c r="W123" s="25">
        <v>0</v>
      </c>
    </row>
    <row r="124" spans="1:23" s="4" customFormat="1" ht="21.75" customHeight="1">
      <c r="A124" s="225" t="s">
        <v>283</v>
      </c>
      <c r="B124" s="229" t="s">
        <v>1250</v>
      </c>
      <c r="C124" s="226" t="s">
        <v>490</v>
      </c>
      <c r="D124" s="226" t="s">
        <v>1021</v>
      </c>
      <c r="E124" s="226" t="s">
        <v>93</v>
      </c>
      <c r="F124" s="226" t="s">
        <v>97</v>
      </c>
      <c r="G124" s="226" t="s">
        <v>124</v>
      </c>
      <c r="H124" s="250">
        <v>200</v>
      </c>
      <c r="I124" s="216" t="s">
        <v>118</v>
      </c>
      <c r="J124" s="218" t="s">
        <v>1099</v>
      </c>
      <c r="K124" s="218"/>
      <c r="L124" s="25">
        <v>0</v>
      </c>
      <c r="M124" s="25">
        <v>576</v>
      </c>
      <c r="N124" s="25">
        <v>0</v>
      </c>
      <c r="O124" s="25">
        <v>0</v>
      </c>
      <c r="P124" s="25">
        <v>0</v>
      </c>
      <c r="Q124" s="25">
        <v>0</v>
      </c>
      <c r="R124" s="25">
        <v>0</v>
      </c>
      <c r="S124" s="25">
        <v>0</v>
      </c>
      <c r="T124" s="25">
        <v>0</v>
      </c>
      <c r="U124" s="25">
        <v>0</v>
      </c>
      <c r="V124" s="25">
        <v>0</v>
      </c>
      <c r="W124" s="25">
        <v>0</v>
      </c>
    </row>
    <row r="125" spans="1:23" s="4" customFormat="1" ht="21.75" customHeight="1">
      <c r="A125" s="225" t="s">
        <v>278</v>
      </c>
      <c r="B125" s="229" t="s">
        <v>299</v>
      </c>
      <c r="C125" s="218" t="s">
        <v>120</v>
      </c>
      <c r="D125" s="226" t="s">
        <v>395</v>
      </c>
      <c r="E125" s="226" t="s">
        <v>98</v>
      </c>
      <c r="F125" s="226" t="s">
        <v>95</v>
      </c>
      <c r="G125" s="226" t="s">
        <v>186</v>
      </c>
      <c r="H125" s="250">
        <v>200</v>
      </c>
      <c r="I125" s="217" t="s">
        <v>118</v>
      </c>
      <c r="J125" s="218" t="s">
        <v>366</v>
      </c>
      <c r="K125" s="218"/>
      <c r="L125" s="25">
        <v>3538.2</v>
      </c>
      <c r="M125" s="25">
        <v>3222.6</v>
      </c>
      <c r="N125" s="25">
        <v>2061.9</v>
      </c>
      <c r="O125" s="25">
        <f t="shared" ref="O125:O131" si="50">SUM(P125:Q125)</f>
        <v>3198.6</v>
      </c>
      <c r="P125" s="25">
        <v>3198.6</v>
      </c>
      <c r="Q125" s="25">
        <v>0</v>
      </c>
      <c r="R125" s="25">
        <f t="shared" ref="R125:R131" si="51">SUM(S125:T125)</f>
        <v>3168.9</v>
      </c>
      <c r="S125" s="25">
        <v>3168.9</v>
      </c>
      <c r="T125" s="25">
        <v>0</v>
      </c>
      <c r="U125" s="25">
        <f t="shared" ref="U125:U131" si="52">SUM(V125:W125)</f>
        <v>3200.9</v>
      </c>
      <c r="V125" s="25">
        <v>3200.9</v>
      </c>
      <c r="W125" s="25">
        <v>0</v>
      </c>
    </row>
    <row r="126" spans="1:23" s="4" customFormat="1" ht="21.75" customHeight="1">
      <c r="A126" s="225" t="s">
        <v>287</v>
      </c>
      <c r="B126" s="229" t="s">
        <v>1251</v>
      </c>
      <c r="C126" s="218" t="s">
        <v>1252</v>
      </c>
      <c r="D126" s="226" t="s">
        <v>395</v>
      </c>
      <c r="E126" s="226" t="s">
        <v>98</v>
      </c>
      <c r="F126" s="226" t="s">
        <v>95</v>
      </c>
      <c r="G126" s="226" t="s">
        <v>225</v>
      </c>
      <c r="H126" s="250">
        <v>200</v>
      </c>
      <c r="I126" s="217" t="s">
        <v>118</v>
      </c>
      <c r="J126" s="218" t="s">
        <v>366</v>
      </c>
      <c r="K126" s="218"/>
      <c r="L126" s="25">
        <v>22.6</v>
      </c>
      <c r="M126" s="25">
        <v>21.5</v>
      </c>
      <c r="N126" s="25">
        <v>21.5</v>
      </c>
      <c r="O126" s="25">
        <f t="shared" si="50"/>
        <v>20.2</v>
      </c>
      <c r="P126" s="25">
        <v>20.2</v>
      </c>
      <c r="Q126" s="25">
        <v>0</v>
      </c>
      <c r="R126" s="25">
        <f t="shared" si="51"/>
        <v>20</v>
      </c>
      <c r="S126" s="25">
        <v>20</v>
      </c>
      <c r="T126" s="25">
        <v>0</v>
      </c>
      <c r="U126" s="25">
        <f t="shared" si="52"/>
        <v>20.2</v>
      </c>
      <c r="V126" s="25">
        <v>20.2</v>
      </c>
      <c r="W126" s="25">
        <v>0</v>
      </c>
    </row>
    <row r="127" spans="1:23" s="4" customFormat="1" ht="39.75" customHeight="1">
      <c r="A127" s="225" t="s">
        <v>288</v>
      </c>
      <c r="B127" s="229" t="s">
        <v>251</v>
      </c>
      <c r="C127" s="219" t="s">
        <v>1253</v>
      </c>
      <c r="D127" s="226" t="s">
        <v>395</v>
      </c>
      <c r="E127" s="226" t="s">
        <v>98</v>
      </c>
      <c r="F127" s="226" t="s">
        <v>95</v>
      </c>
      <c r="G127" s="226" t="s">
        <v>126</v>
      </c>
      <c r="H127" s="658">
        <v>200</v>
      </c>
      <c r="I127" s="229" t="s">
        <v>118</v>
      </c>
      <c r="J127" s="229" t="s">
        <v>366</v>
      </c>
      <c r="K127" s="220"/>
      <c r="L127" s="69">
        <v>86.8</v>
      </c>
      <c r="M127" s="69">
        <v>333</v>
      </c>
      <c r="N127" s="69">
        <v>331</v>
      </c>
      <c r="O127" s="25">
        <f t="shared" si="50"/>
        <v>79.599999999999994</v>
      </c>
      <c r="P127" s="69">
        <v>79.599999999999994</v>
      </c>
      <c r="Q127" s="69">
        <f t="shared" ref="Q127:W127" si="53">SUM(Q128)</f>
        <v>0</v>
      </c>
      <c r="R127" s="25">
        <f t="shared" si="51"/>
        <v>78.900000000000006</v>
      </c>
      <c r="S127" s="69">
        <v>78.900000000000006</v>
      </c>
      <c r="T127" s="69">
        <f t="shared" si="53"/>
        <v>0</v>
      </c>
      <c r="U127" s="25">
        <f t="shared" si="52"/>
        <v>79.7</v>
      </c>
      <c r="V127" s="69">
        <v>79.7</v>
      </c>
      <c r="W127" s="69">
        <f t="shared" si="53"/>
        <v>0</v>
      </c>
    </row>
    <row r="128" spans="1:23" s="4" customFormat="1" ht="39.75" customHeight="1">
      <c r="A128" s="225" t="s">
        <v>297</v>
      </c>
      <c r="B128" s="229" t="s">
        <v>1254</v>
      </c>
      <c r="C128" s="57" t="s">
        <v>99</v>
      </c>
      <c r="D128" s="226" t="s">
        <v>396</v>
      </c>
      <c r="E128" s="226" t="s">
        <v>98</v>
      </c>
      <c r="F128" s="226" t="s">
        <v>95</v>
      </c>
      <c r="G128" s="226" t="s">
        <v>121</v>
      </c>
      <c r="H128" s="250">
        <v>200</v>
      </c>
      <c r="I128" s="217" t="s">
        <v>118</v>
      </c>
      <c r="J128" s="252" t="s">
        <v>366</v>
      </c>
      <c r="K128" s="217"/>
      <c r="L128" s="25">
        <v>203</v>
      </c>
      <c r="M128" s="25">
        <v>264.10000000000002</v>
      </c>
      <c r="N128" s="25">
        <v>195.1</v>
      </c>
      <c r="O128" s="25">
        <f t="shared" si="50"/>
        <v>235.3</v>
      </c>
      <c r="P128" s="25">
        <v>235.3</v>
      </c>
      <c r="Q128" s="25">
        <f>SUM(Q129:Q131)</f>
        <v>0</v>
      </c>
      <c r="R128" s="25">
        <f t="shared" si="51"/>
        <v>233.1</v>
      </c>
      <c r="S128" s="25">
        <v>233.1</v>
      </c>
      <c r="T128" s="25">
        <f>SUM(T129:T131)</f>
        <v>0</v>
      </c>
      <c r="U128" s="25">
        <f t="shared" si="52"/>
        <v>235.5</v>
      </c>
      <c r="V128" s="25">
        <v>235.5</v>
      </c>
      <c r="W128" s="25">
        <f>SUM(W129:W131)</f>
        <v>0</v>
      </c>
    </row>
    <row r="129" spans="1:23" s="4" customFormat="1" ht="18.75" customHeight="1">
      <c r="A129" s="225" t="s">
        <v>298</v>
      </c>
      <c r="B129" s="229" t="s">
        <v>1255</v>
      </c>
      <c r="C129" s="218" t="s">
        <v>112</v>
      </c>
      <c r="D129" s="226" t="s">
        <v>395</v>
      </c>
      <c r="E129" s="226" t="s">
        <v>98</v>
      </c>
      <c r="F129" s="226" t="s">
        <v>95</v>
      </c>
      <c r="G129" s="226" t="s">
        <v>178</v>
      </c>
      <c r="H129" s="250">
        <v>200</v>
      </c>
      <c r="I129" s="217" t="s">
        <v>118</v>
      </c>
      <c r="J129" s="252" t="s">
        <v>366</v>
      </c>
      <c r="K129" s="217"/>
      <c r="L129" s="25">
        <v>182.8</v>
      </c>
      <c r="M129" s="25">
        <v>180.2</v>
      </c>
      <c r="N129" s="25">
        <v>176.3</v>
      </c>
      <c r="O129" s="25">
        <f t="shared" si="50"/>
        <v>169.7</v>
      </c>
      <c r="P129" s="25">
        <v>169.7</v>
      </c>
      <c r="Q129" s="25">
        <v>0</v>
      </c>
      <c r="R129" s="25">
        <f t="shared" si="51"/>
        <v>168.2</v>
      </c>
      <c r="S129" s="25">
        <v>168.2</v>
      </c>
      <c r="T129" s="25">
        <v>0</v>
      </c>
      <c r="U129" s="25">
        <f t="shared" si="52"/>
        <v>169.8</v>
      </c>
      <c r="V129" s="25">
        <v>169.8</v>
      </c>
      <c r="W129" s="25">
        <v>0</v>
      </c>
    </row>
    <row r="130" spans="1:23" s="4" customFormat="1" ht="18.75" customHeight="1">
      <c r="A130" s="225" t="s">
        <v>289</v>
      </c>
      <c r="B130" s="229" t="s">
        <v>254</v>
      </c>
      <c r="C130" s="57" t="s">
        <v>1256</v>
      </c>
      <c r="D130" s="226" t="s">
        <v>395</v>
      </c>
      <c r="E130" s="226" t="s">
        <v>98</v>
      </c>
      <c r="F130" s="226" t="s">
        <v>95</v>
      </c>
      <c r="G130" s="250" t="s">
        <v>380</v>
      </c>
      <c r="H130" s="250">
        <v>200</v>
      </c>
      <c r="I130" s="217" t="s">
        <v>118</v>
      </c>
      <c r="J130" s="252" t="s">
        <v>366</v>
      </c>
      <c r="K130" s="217"/>
      <c r="L130" s="25">
        <v>1612.1</v>
      </c>
      <c r="M130" s="25">
        <v>834.2</v>
      </c>
      <c r="N130" s="25">
        <v>808.6</v>
      </c>
      <c r="O130" s="25">
        <f t="shared" si="50"/>
        <v>0</v>
      </c>
      <c r="P130" s="25">
        <v>0</v>
      </c>
      <c r="Q130" s="25">
        <v>0</v>
      </c>
      <c r="R130" s="25">
        <f t="shared" si="51"/>
        <v>0</v>
      </c>
      <c r="S130" s="25">
        <v>0</v>
      </c>
      <c r="T130" s="25">
        <v>0</v>
      </c>
      <c r="U130" s="25">
        <f t="shared" si="52"/>
        <v>0</v>
      </c>
      <c r="V130" s="25">
        <v>0</v>
      </c>
      <c r="W130" s="25">
        <v>0</v>
      </c>
    </row>
    <row r="131" spans="1:23" s="4" customFormat="1" ht="18.75" customHeight="1">
      <c r="A131" s="225" t="s">
        <v>1257</v>
      </c>
      <c r="B131" s="229" t="s">
        <v>304</v>
      </c>
      <c r="C131" s="57" t="s">
        <v>113</v>
      </c>
      <c r="D131" s="226" t="s">
        <v>393</v>
      </c>
      <c r="E131" s="226" t="s">
        <v>98</v>
      </c>
      <c r="F131" s="226" t="s">
        <v>98</v>
      </c>
      <c r="G131" s="226" t="s">
        <v>100</v>
      </c>
      <c r="H131" s="250">
        <v>200</v>
      </c>
      <c r="I131" s="217" t="s">
        <v>118</v>
      </c>
      <c r="J131" s="252" t="s">
        <v>366</v>
      </c>
      <c r="K131" s="217"/>
      <c r="L131" s="25">
        <v>2844.5</v>
      </c>
      <c r="M131" s="25">
        <v>1966.5</v>
      </c>
      <c r="N131" s="25">
        <v>964.5</v>
      </c>
      <c r="O131" s="25">
        <f t="shared" si="50"/>
        <v>1395.5</v>
      </c>
      <c r="P131" s="25">
        <v>1395.5</v>
      </c>
      <c r="Q131" s="25">
        <v>0</v>
      </c>
      <c r="R131" s="25">
        <f t="shared" si="51"/>
        <v>1382.8</v>
      </c>
      <c r="S131" s="25">
        <v>1382.8</v>
      </c>
      <c r="T131" s="25">
        <v>0</v>
      </c>
      <c r="U131" s="25">
        <f t="shared" si="52"/>
        <v>1396.5</v>
      </c>
      <c r="V131" s="25">
        <v>1396.5</v>
      </c>
      <c r="W131" s="25">
        <v>0</v>
      </c>
    </row>
    <row r="132" spans="1:23" s="4" customFormat="1" ht="79.900000000000006" customHeight="1">
      <c r="A132" s="137" t="s">
        <v>50</v>
      </c>
      <c r="B132" s="229" t="s">
        <v>31</v>
      </c>
      <c r="C132" s="41"/>
      <c r="D132" s="218"/>
      <c r="E132" s="250"/>
      <c r="F132" s="250"/>
      <c r="G132" s="250"/>
      <c r="H132" s="250">
        <v>800</v>
      </c>
      <c r="I132" s="252"/>
      <c r="J132" s="41"/>
      <c r="K132" s="218"/>
      <c r="L132" s="25">
        <f>SUM(L133:L135)</f>
        <v>15.4</v>
      </c>
      <c r="M132" s="25">
        <f t="shared" ref="M132:W132" si="54">SUM(M133:M135)</f>
        <v>28.7</v>
      </c>
      <c r="N132" s="25">
        <f t="shared" si="54"/>
        <v>13.2</v>
      </c>
      <c r="O132" s="25">
        <f t="shared" si="54"/>
        <v>19.8</v>
      </c>
      <c r="P132" s="25">
        <f t="shared" si="54"/>
        <v>19.8</v>
      </c>
      <c r="Q132" s="25">
        <f t="shared" si="54"/>
        <v>0</v>
      </c>
      <c r="R132" s="25">
        <f t="shared" si="54"/>
        <v>19.600000000000001</v>
      </c>
      <c r="S132" s="25">
        <f t="shared" si="54"/>
        <v>19.600000000000001</v>
      </c>
      <c r="T132" s="25">
        <f t="shared" si="54"/>
        <v>0</v>
      </c>
      <c r="U132" s="25">
        <f t="shared" si="54"/>
        <v>19.8</v>
      </c>
      <c r="V132" s="25">
        <f t="shared" si="54"/>
        <v>19.8</v>
      </c>
      <c r="W132" s="25">
        <f t="shared" si="54"/>
        <v>0</v>
      </c>
    </row>
    <row r="133" spans="1:23" s="4" customFormat="1" ht="22.5" customHeight="1">
      <c r="A133" s="137" t="s">
        <v>51</v>
      </c>
      <c r="B133" s="229" t="s">
        <v>1244</v>
      </c>
      <c r="C133" s="218" t="s">
        <v>104</v>
      </c>
      <c r="D133" s="226" t="s">
        <v>403</v>
      </c>
      <c r="E133" s="226" t="s">
        <v>95</v>
      </c>
      <c r="F133" s="250">
        <v>10</v>
      </c>
      <c r="G133" s="250">
        <v>2020100590</v>
      </c>
      <c r="H133" s="250">
        <v>800</v>
      </c>
      <c r="I133" s="217" t="s">
        <v>118</v>
      </c>
      <c r="J133" s="41"/>
      <c r="K133" s="218"/>
      <c r="L133" s="25">
        <v>0</v>
      </c>
      <c r="M133" s="25">
        <v>10</v>
      </c>
      <c r="N133" s="25">
        <v>0</v>
      </c>
      <c r="O133" s="25">
        <f>SUM(P133:Q133)</f>
        <v>0</v>
      </c>
      <c r="P133" s="25">
        <v>0</v>
      </c>
      <c r="Q133" s="25">
        <v>0</v>
      </c>
      <c r="R133" s="25">
        <f t="shared" ref="R133:R134" si="55">SUM(S133:T133)</f>
        <v>0</v>
      </c>
      <c r="S133" s="25">
        <v>0</v>
      </c>
      <c r="T133" s="25">
        <v>0</v>
      </c>
      <c r="U133" s="25">
        <f t="shared" ref="U133:U134" si="56">SUM(V133:W133)</f>
        <v>0</v>
      </c>
      <c r="V133" s="25">
        <v>0</v>
      </c>
      <c r="W133" s="25">
        <v>0</v>
      </c>
    </row>
    <row r="134" spans="1:23" s="4" customFormat="1" ht="22.5" customHeight="1">
      <c r="A134" s="137" t="s">
        <v>72</v>
      </c>
      <c r="B134" s="229" t="s">
        <v>1258</v>
      </c>
      <c r="C134" s="218" t="s">
        <v>120</v>
      </c>
      <c r="D134" s="226" t="s">
        <v>395</v>
      </c>
      <c r="E134" s="226" t="s">
        <v>98</v>
      </c>
      <c r="F134" s="226" t="s">
        <v>95</v>
      </c>
      <c r="G134" s="226" t="s">
        <v>186</v>
      </c>
      <c r="H134" s="250">
        <v>800</v>
      </c>
      <c r="I134" s="217" t="s">
        <v>118</v>
      </c>
      <c r="J134" s="41"/>
      <c r="K134" s="218"/>
      <c r="L134" s="25">
        <v>0.1</v>
      </c>
      <c r="M134" s="25">
        <v>0</v>
      </c>
      <c r="N134" s="25">
        <v>0</v>
      </c>
      <c r="O134" s="25">
        <f>SUM(P134:Q134)</f>
        <v>0</v>
      </c>
      <c r="P134" s="25">
        <v>0</v>
      </c>
      <c r="Q134" s="25">
        <v>0</v>
      </c>
      <c r="R134" s="25">
        <f t="shared" si="55"/>
        <v>0</v>
      </c>
      <c r="S134" s="25">
        <v>0</v>
      </c>
      <c r="T134" s="25">
        <v>0</v>
      </c>
      <c r="U134" s="25">
        <f t="shared" si="56"/>
        <v>0</v>
      </c>
      <c r="V134" s="25">
        <v>0</v>
      </c>
      <c r="W134" s="25">
        <v>0</v>
      </c>
    </row>
    <row r="135" spans="1:23" s="4" customFormat="1" ht="22.5" customHeight="1">
      <c r="A135" s="137" t="s">
        <v>171</v>
      </c>
      <c r="B135" s="229" t="s">
        <v>1258</v>
      </c>
      <c r="C135" s="218" t="s">
        <v>113</v>
      </c>
      <c r="D135" s="226" t="s">
        <v>393</v>
      </c>
      <c r="E135" s="226" t="s">
        <v>98</v>
      </c>
      <c r="F135" s="226" t="s">
        <v>98</v>
      </c>
      <c r="G135" s="226" t="s">
        <v>100</v>
      </c>
      <c r="H135" s="250">
        <v>800</v>
      </c>
      <c r="I135" s="217" t="s">
        <v>118</v>
      </c>
      <c r="J135" s="41"/>
      <c r="K135" s="218"/>
      <c r="L135" s="25">
        <v>15.3</v>
      </c>
      <c r="M135" s="25">
        <v>18.7</v>
      </c>
      <c r="N135" s="25">
        <v>13.2</v>
      </c>
      <c r="O135" s="25">
        <f>SUM(P135:Q135)</f>
        <v>19.8</v>
      </c>
      <c r="P135" s="25">
        <v>19.8</v>
      </c>
      <c r="Q135" s="25">
        <v>0</v>
      </c>
      <c r="R135" s="25">
        <f>SUM(S135:T135)</f>
        <v>19.600000000000001</v>
      </c>
      <c r="S135" s="25">
        <v>19.600000000000001</v>
      </c>
      <c r="T135" s="25">
        <v>0</v>
      </c>
      <c r="U135" s="25">
        <f>SUM(V135:W135)</f>
        <v>19.8</v>
      </c>
      <c r="V135" s="25">
        <v>19.8</v>
      </c>
      <c r="W135" s="25">
        <v>0</v>
      </c>
    </row>
    <row r="136" spans="1:23" s="336" customFormat="1" ht="56.25">
      <c r="A136" s="12" t="s">
        <v>122</v>
      </c>
      <c r="B136" s="180" t="s">
        <v>1259</v>
      </c>
      <c r="C136" s="8"/>
      <c r="D136" s="644"/>
      <c r="E136" s="644"/>
      <c r="F136" s="644"/>
      <c r="G136" s="644"/>
      <c r="H136" s="644"/>
      <c r="I136" s="8"/>
      <c r="J136" s="8"/>
      <c r="K136" s="8" t="s">
        <v>62</v>
      </c>
      <c r="L136" s="19">
        <f>SUM(L137,)</f>
        <v>20656.7</v>
      </c>
      <c r="M136" s="19">
        <f t="shared" ref="M136:W136" si="57">SUM(M137,)</f>
        <v>31802</v>
      </c>
      <c r="N136" s="19">
        <f t="shared" si="57"/>
        <v>20096.48</v>
      </c>
      <c r="O136" s="19">
        <f t="shared" si="57"/>
        <v>23056.5</v>
      </c>
      <c r="P136" s="19">
        <f t="shared" si="57"/>
        <v>23056.5</v>
      </c>
      <c r="Q136" s="19">
        <f t="shared" si="57"/>
        <v>0</v>
      </c>
      <c r="R136" s="19">
        <f t="shared" si="57"/>
        <v>22843</v>
      </c>
      <c r="S136" s="19">
        <f t="shared" si="57"/>
        <v>22843</v>
      </c>
      <c r="T136" s="19">
        <f t="shared" si="57"/>
        <v>0</v>
      </c>
      <c r="U136" s="19">
        <f t="shared" si="57"/>
        <v>23072.799999999999</v>
      </c>
      <c r="V136" s="19">
        <f t="shared" si="57"/>
        <v>23072.799999999999</v>
      </c>
      <c r="W136" s="19">
        <f t="shared" si="57"/>
        <v>0</v>
      </c>
    </row>
    <row r="137" spans="1:23" s="3" customFormat="1" ht="38.450000000000003" customHeight="1">
      <c r="A137" s="9" t="s">
        <v>9</v>
      </c>
      <c r="B137" s="421" t="s">
        <v>67</v>
      </c>
      <c r="C137" s="421"/>
      <c r="D137" s="421"/>
      <c r="E137" s="421"/>
      <c r="F137" s="421"/>
      <c r="G137" s="421"/>
      <c r="H137" s="421"/>
      <c r="I137" s="421"/>
      <c r="J137" s="421"/>
      <c r="K137" s="421"/>
      <c r="L137" s="20">
        <f>SUM(L138,L143)</f>
        <v>20656.7</v>
      </c>
      <c r="M137" s="20">
        <f>SUM(M138,M143)</f>
        <v>31802</v>
      </c>
      <c r="N137" s="20">
        <f t="shared" ref="N137:W137" si="58">SUM(N138,N143)</f>
        <v>20096.48</v>
      </c>
      <c r="O137" s="20">
        <f t="shared" si="58"/>
        <v>23056.5</v>
      </c>
      <c r="P137" s="20">
        <f t="shared" si="58"/>
        <v>23056.5</v>
      </c>
      <c r="Q137" s="20">
        <f t="shared" si="58"/>
        <v>0</v>
      </c>
      <c r="R137" s="20">
        <f t="shared" si="58"/>
        <v>22843</v>
      </c>
      <c r="S137" s="20">
        <f t="shared" si="58"/>
        <v>22843</v>
      </c>
      <c r="T137" s="20">
        <f t="shared" si="58"/>
        <v>0</v>
      </c>
      <c r="U137" s="20">
        <f t="shared" si="58"/>
        <v>23072.799999999999</v>
      </c>
      <c r="V137" s="20">
        <f t="shared" si="58"/>
        <v>23072.799999999999</v>
      </c>
      <c r="W137" s="20">
        <f t="shared" si="58"/>
        <v>0</v>
      </c>
    </row>
    <row r="138" spans="1:23" s="2" customFormat="1" ht="19.899999999999999" customHeight="1">
      <c r="A138" s="21" t="s">
        <v>57</v>
      </c>
      <c r="B138" s="229"/>
      <c r="C138" s="387"/>
      <c r="D138" s="383"/>
      <c r="E138" s="229"/>
      <c r="F138" s="229"/>
      <c r="G138" s="229"/>
      <c r="H138" s="229"/>
      <c r="I138" s="374"/>
      <c r="J138" s="387"/>
      <c r="K138" s="383"/>
      <c r="L138" s="22">
        <f>SUM(L139:L142)</f>
        <v>4469.7</v>
      </c>
      <c r="M138" s="22">
        <f>SUM(M139:M142)</f>
        <v>4746.3</v>
      </c>
      <c r="N138" s="22">
        <f t="shared" ref="N138:W138" si="59">SUM(N139:N142)</f>
        <v>3077</v>
      </c>
      <c r="O138" s="22">
        <f t="shared" si="59"/>
        <v>4815.6000000000004</v>
      </c>
      <c r="P138" s="22">
        <f t="shared" si="59"/>
        <v>4815.6000000000004</v>
      </c>
      <c r="Q138" s="22">
        <f t="shared" si="59"/>
        <v>0</v>
      </c>
      <c r="R138" s="22">
        <f t="shared" si="59"/>
        <v>4771.0999999999995</v>
      </c>
      <c r="S138" s="22">
        <f t="shared" si="59"/>
        <v>4771.0999999999995</v>
      </c>
      <c r="T138" s="22">
        <f t="shared" si="59"/>
        <v>0</v>
      </c>
      <c r="U138" s="22">
        <f t="shared" si="59"/>
        <v>4818.9000000000005</v>
      </c>
      <c r="V138" s="22">
        <f t="shared" si="59"/>
        <v>4818.9000000000005</v>
      </c>
      <c r="W138" s="22">
        <f t="shared" si="59"/>
        <v>0</v>
      </c>
    </row>
    <row r="139" spans="1:23" s="2" customFormat="1" ht="234.75" customHeight="1">
      <c r="A139" s="24" t="s">
        <v>10</v>
      </c>
      <c r="B139" s="229" t="s">
        <v>68</v>
      </c>
      <c r="C139" s="72" t="s">
        <v>170</v>
      </c>
      <c r="D139" s="226" t="s">
        <v>383</v>
      </c>
      <c r="E139" s="238" t="s">
        <v>92</v>
      </c>
      <c r="F139" s="238" t="s">
        <v>93</v>
      </c>
      <c r="G139" s="229" t="s">
        <v>1260</v>
      </c>
      <c r="H139" s="250">
        <v>100</v>
      </c>
      <c r="I139" s="551" t="s">
        <v>308</v>
      </c>
      <c r="J139" s="556" t="s">
        <v>309</v>
      </c>
      <c r="K139" s="218"/>
      <c r="L139" s="25">
        <v>3882.6</v>
      </c>
      <c r="M139" s="25">
        <v>3923.6</v>
      </c>
      <c r="N139" s="25">
        <v>2473.3000000000002</v>
      </c>
      <c r="O139" s="25">
        <f>SUM(P139:Q139)</f>
        <v>4303.5</v>
      </c>
      <c r="P139" s="25">
        <v>4303.5</v>
      </c>
      <c r="Q139" s="25"/>
      <c r="R139" s="25">
        <f>SUM(S139:T139)</f>
        <v>4263.7</v>
      </c>
      <c r="S139" s="25">
        <v>4263.7</v>
      </c>
      <c r="T139" s="25"/>
      <c r="U139" s="25">
        <f>SUM(V139:W139)</f>
        <v>4306.6000000000004</v>
      </c>
      <c r="V139" s="25">
        <v>4306.6000000000004</v>
      </c>
      <c r="W139" s="25"/>
    </row>
    <row r="140" spans="1:23" s="2" customFormat="1" ht="83.25" customHeight="1">
      <c r="A140" s="24" t="s">
        <v>11</v>
      </c>
      <c r="B140" s="229" t="s">
        <v>69</v>
      </c>
      <c r="C140" s="236" t="s">
        <v>170</v>
      </c>
      <c r="D140" s="226" t="s">
        <v>349</v>
      </c>
      <c r="E140" s="238" t="s">
        <v>92</v>
      </c>
      <c r="F140" s="238" t="s">
        <v>93</v>
      </c>
      <c r="G140" s="229">
        <v>7770100190</v>
      </c>
      <c r="H140" s="250">
        <v>200</v>
      </c>
      <c r="I140" s="553"/>
      <c r="J140" s="557"/>
      <c r="K140" s="375"/>
      <c r="L140" s="25">
        <v>587.1</v>
      </c>
      <c r="M140" s="25">
        <v>583.1</v>
      </c>
      <c r="N140" s="25">
        <v>364.1</v>
      </c>
      <c r="O140" s="25">
        <f>SUM(P140:Q140)</f>
        <v>512.1</v>
      </c>
      <c r="P140" s="25">
        <v>512.1</v>
      </c>
      <c r="Q140" s="25"/>
      <c r="R140" s="25">
        <f>SUM(S140:T140)</f>
        <v>507.4</v>
      </c>
      <c r="S140" s="25">
        <v>507.4</v>
      </c>
      <c r="T140" s="25"/>
      <c r="U140" s="25">
        <f>SUM(V140:W140)</f>
        <v>512.29999999999995</v>
      </c>
      <c r="V140" s="25">
        <v>512.29999999999995</v>
      </c>
      <c r="W140" s="25"/>
    </row>
    <row r="141" spans="1:23" s="2" customFormat="1" ht="148.5" customHeight="1">
      <c r="A141" s="24" t="s">
        <v>20</v>
      </c>
      <c r="B141" s="229" t="s">
        <v>1261</v>
      </c>
      <c r="C141" s="236" t="s">
        <v>160</v>
      </c>
      <c r="D141" s="226" t="s">
        <v>383</v>
      </c>
      <c r="E141" s="238" t="s">
        <v>92</v>
      </c>
      <c r="F141" s="238" t="s">
        <v>83</v>
      </c>
      <c r="G141" s="238" t="s">
        <v>124</v>
      </c>
      <c r="H141" s="250">
        <v>200</v>
      </c>
      <c r="I141" s="70" t="s">
        <v>1262</v>
      </c>
      <c r="J141" s="70" t="s">
        <v>1263</v>
      </c>
      <c r="K141" s="375"/>
      <c r="L141" s="25"/>
      <c r="M141" s="25">
        <v>239.6</v>
      </c>
      <c r="N141" s="25">
        <v>239.6</v>
      </c>
      <c r="O141" s="25"/>
      <c r="P141" s="25"/>
      <c r="Q141" s="25"/>
      <c r="R141" s="25"/>
      <c r="S141" s="25"/>
      <c r="T141" s="25"/>
      <c r="U141" s="25"/>
      <c r="V141" s="25"/>
      <c r="W141" s="25"/>
    </row>
    <row r="142" spans="1:23" s="2" customFormat="1" ht="21" customHeight="1">
      <c r="A142" s="24" t="s">
        <v>175</v>
      </c>
      <c r="B142" s="229" t="s">
        <v>31</v>
      </c>
      <c r="C142" s="374"/>
      <c r="D142" s="375"/>
      <c r="E142" s="229"/>
      <c r="F142" s="229"/>
      <c r="G142" s="229"/>
      <c r="H142" s="250">
        <v>800</v>
      </c>
      <c r="I142" s="374"/>
      <c r="J142" s="374"/>
      <c r="K142" s="375"/>
      <c r="L142" s="25"/>
      <c r="M142" s="25">
        <v>0</v>
      </c>
      <c r="N142" s="25">
        <v>0</v>
      </c>
      <c r="O142" s="25">
        <f>SUM(P142:Q142)</f>
        <v>0</v>
      </c>
      <c r="P142" s="25"/>
      <c r="Q142" s="25"/>
      <c r="R142" s="25">
        <f>SUM(S142:T142)</f>
        <v>0</v>
      </c>
      <c r="S142" s="25"/>
      <c r="T142" s="25"/>
      <c r="U142" s="25">
        <f>SUM(V142:W142)</f>
        <v>0</v>
      </c>
      <c r="V142" s="25"/>
      <c r="W142" s="25"/>
    </row>
    <row r="143" spans="1:23" s="2" customFormat="1" ht="36.6" customHeight="1">
      <c r="A143" s="477" t="s">
        <v>88</v>
      </c>
      <c r="B143" s="411"/>
      <c r="C143" s="411"/>
      <c r="D143" s="411"/>
      <c r="E143" s="411"/>
      <c r="F143" s="411"/>
      <c r="G143" s="411"/>
      <c r="H143" s="411"/>
      <c r="I143" s="411"/>
      <c r="J143" s="411"/>
      <c r="K143" s="411"/>
      <c r="L143" s="22">
        <f t="shared" ref="L143:W143" si="60">SUM(L144,L147,L164)</f>
        <v>16187</v>
      </c>
      <c r="M143" s="22">
        <f t="shared" si="60"/>
        <v>27055.7</v>
      </c>
      <c r="N143" s="22">
        <f t="shared" si="60"/>
        <v>17019.48</v>
      </c>
      <c r="O143" s="22">
        <f t="shared" si="60"/>
        <v>18240.899999999998</v>
      </c>
      <c r="P143" s="22">
        <f t="shared" si="60"/>
        <v>18240.899999999998</v>
      </c>
      <c r="Q143" s="22">
        <f t="shared" si="60"/>
        <v>0</v>
      </c>
      <c r="R143" s="22">
        <f t="shared" si="60"/>
        <v>18071.900000000001</v>
      </c>
      <c r="S143" s="22">
        <f t="shared" si="60"/>
        <v>18071.900000000001</v>
      </c>
      <c r="T143" s="22">
        <f t="shared" si="60"/>
        <v>0</v>
      </c>
      <c r="U143" s="22">
        <f t="shared" si="60"/>
        <v>18253.899999999998</v>
      </c>
      <c r="V143" s="22">
        <f t="shared" si="60"/>
        <v>18253.899999999998</v>
      </c>
      <c r="W143" s="22">
        <f t="shared" si="60"/>
        <v>0</v>
      </c>
    </row>
    <row r="144" spans="1:23" s="2" customFormat="1" ht="58.5" customHeight="1">
      <c r="A144" s="24" t="s">
        <v>12</v>
      </c>
      <c r="B144" s="229" t="s">
        <v>1264</v>
      </c>
      <c r="C144" s="218"/>
      <c r="D144" s="218"/>
      <c r="E144" s="229"/>
      <c r="F144" s="229"/>
      <c r="G144" s="229"/>
      <c r="H144" s="250">
        <v>100</v>
      </c>
      <c r="I144" s="252"/>
      <c r="J144" s="218"/>
      <c r="K144" s="218"/>
      <c r="L144" s="25">
        <f t="shared" ref="L144:W144" si="61">SUM(L145:L146)</f>
        <v>7758.4</v>
      </c>
      <c r="M144" s="25">
        <f t="shared" si="61"/>
        <v>9528.6</v>
      </c>
      <c r="N144" s="25">
        <f t="shared" si="61"/>
        <v>4938.6900000000005</v>
      </c>
      <c r="O144" s="25">
        <f t="shared" si="61"/>
        <v>11258.5</v>
      </c>
      <c r="P144" s="25">
        <f t="shared" si="61"/>
        <v>11258.5</v>
      </c>
      <c r="Q144" s="25">
        <f t="shared" si="61"/>
        <v>0</v>
      </c>
      <c r="R144" s="25">
        <f t="shared" si="61"/>
        <v>11154.2</v>
      </c>
      <c r="S144" s="25">
        <f t="shared" si="61"/>
        <v>11154.2</v>
      </c>
      <c r="T144" s="25">
        <f t="shared" si="61"/>
        <v>0</v>
      </c>
      <c r="U144" s="25">
        <f t="shared" si="61"/>
        <v>11266.7</v>
      </c>
      <c r="V144" s="25">
        <f t="shared" si="61"/>
        <v>11266.7</v>
      </c>
      <c r="W144" s="25">
        <f t="shared" si="61"/>
        <v>0</v>
      </c>
    </row>
    <row r="145" spans="1:23" s="2" customFormat="1" ht="106.5" customHeight="1">
      <c r="A145" s="24" t="s">
        <v>48</v>
      </c>
      <c r="B145" s="229" t="s">
        <v>310</v>
      </c>
      <c r="C145" s="72" t="s">
        <v>104</v>
      </c>
      <c r="D145" s="226" t="s">
        <v>403</v>
      </c>
      <c r="E145" s="238" t="s">
        <v>95</v>
      </c>
      <c r="F145" s="238" t="s">
        <v>80</v>
      </c>
      <c r="G145" s="229">
        <v>2020100590</v>
      </c>
      <c r="H145" s="250">
        <v>100</v>
      </c>
      <c r="I145" s="551" t="s">
        <v>312</v>
      </c>
      <c r="J145" s="475" t="s">
        <v>423</v>
      </c>
      <c r="K145" s="218"/>
      <c r="L145" s="25">
        <v>3714.9</v>
      </c>
      <c r="M145" s="25">
        <v>3899.6</v>
      </c>
      <c r="N145" s="25">
        <v>2292.39</v>
      </c>
      <c r="O145" s="25">
        <f>SUM(P145:Q145)</f>
        <v>4290.6000000000004</v>
      </c>
      <c r="P145" s="25">
        <v>4290.6000000000004</v>
      </c>
      <c r="Q145" s="25"/>
      <c r="R145" s="25">
        <f>SUM(S145:T145)</f>
        <v>4250.8</v>
      </c>
      <c r="S145" s="25">
        <v>4250.8</v>
      </c>
      <c r="T145" s="25"/>
      <c r="U145" s="25">
        <f>SUM(V145:W145)</f>
        <v>4293.7</v>
      </c>
      <c r="V145" s="25">
        <v>4293.7</v>
      </c>
      <c r="W145" s="25"/>
    </row>
    <row r="146" spans="1:23" s="2" customFormat="1" ht="88.5" customHeight="1">
      <c r="A146" s="24" t="s">
        <v>65</v>
      </c>
      <c r="B146" s="229" t="s">
        <v>314</v>
      </c>
      <c r="C146" s="72" t="s">
        <v>113</v>
      </c>
      <c r="D146" s="226" t="s">
        <v>393</v>
      </c>
      <c r="E146" s="238" t="s">
        <v>98</v>
      </c>
      <c r="F146" s="238" t="s">
        <v>98</v>
      </c>
      <c r="G146" s="238" t="s">
        <v>100</v>
      </c>
      <c r="H146" s="250">
        <v>100</v>
      </c>
      <c r="I146" s="553"/>
      <c r="J146" s="476"/>
      <c r="K146" s="218"/>
      <c r="L146" s="25">
        <v>4043.5</v>
      </c>
      <c r="M146" s="25">
        <v>5629</v>
      </c>
      <c r="N146" s="25">
        <v>2646.3</v>
      </c>
      <c r="O146" s="25">
        <f>SUM(P146:Q146)</f>
        <v>6967.9</v>
      </c>
      <c r="P146" s="25">
        <v>6967.9</v>
      </c>
      <c r="Q146" s="25"/>
      <c r="R146" s="25">
        <f>SUM(S146:T146)</f>
        <v>6903.4</v>
      </c>
      <c r="S146" s="25">
        <v>6903.4</v>
      </c>
      <c r="T146" s="25"/>
      <c r="U146" s="25">
        <f>SUM(V146:W146)</f>
        <v>6973</v>
      </c>
      <c r="V146" s="25">
        <v>6973</v>
      </c>
      <c r="W146" s="25"/>
    </row>
    <row r="147" spans="1:23" s="2" customFormat="1" ht="39.75" customHeight="1">
      <c r="A147" s="24" t="s">
        <v>13</v>
      </c>
      <c r="B147" s="229" t="s">
        <v>1265</v>
      </c>
      <c r="C147" s="374"/>
      <c r="D147" s="16"/>
      <c r="E147" s="229"/>
      <c r="F147" s="229"/>
      <c r="G147" s="229"/>
      <c r="H147" s="250">
        <v>200</v>
      </c>
      <c r="I147" s="374"/>
      <c r="J147" s="374"/>
      <c r="K147" s="375"/>
      <c r="L147" s="25">
        <f t="shared" ref="L147:W147" si="62">SUM(L148:L163)</f>
        <v>8403.6</v>
      </c>
      <c r="M147" s="25">
        <f t="shared" si="62"/>
        <v>17468.900000000001</v>
      </c>
      <c r="N147" s="25">
        <f t="shared" si="62"/>
        <v>12031.789999999999</v>
      </c>
      <c r="O147" s="25">
        <f t="shared" si="62"/>
        <v>6922.1</v>
      </c>
      <c r="P147" s="25">
        <f t="shared" si="62"/>
        <v>6922.1</v>
      </c>
      <c r="Q147" s="25">
        <f t="shared" si="62"/>
        <v>0</v>
      </c>
      <c r="R147" s="25">
        <f t="shared" si="62"/>
        <v>6858.0000000000009</v>
      </c>
      <c r="S147" s="25">
        <f t="shared" si="62"/>
        <v>6858.0000000000009</v>
      </c>
      <c r="T147" s="25">
        <f t="shared" si="62"/>
        <v>0</v>
      </c>
      <c r="U147" s="25">
        <f t="shared" si="62"/>
        <v>6926.9</v>
      </c>
      <c r="V147" s="25">
        <f t="shared" si="62"/>
        <v>6926.9</v>
      </c>
      <c r="W147" s="25">
        <f t="shared" si="62"/>
        <v>0</v>
      </c>
    </row>
    <row r="148" spans="1:23" s="2" customFormat="1" ht="90" customHeight="1">
      <c r="A148" s="24" t="s">
        <v>49</v>
      </c>
      <c r="B148" s="229" t="s">
        <v>310</v>
      </c>
      <c r="C148" s="236" t="s">
        <v>104</v>
      </c>
      <c r="D148" s="226" t="s">
        <v>403</v>
      </c>
      <c r="E148" s="238" t="s">
        <v>95</v>
      </c>
      <c r="F148" s="238" t="s">
        <v>80</v>
      </c>
      <c r="G148" s="229">
        <v>2020100590</v>
      </c>
      <c r="H148" s="250">
        <v>200</v>
      </c>
      <c r="I148" s="551" t="s">
        <v>311</v>
      </c>
      <c r="J148" s="472" t="s">
        <v>370</v>
      </c>
      <c r="K148" s="375"/>
      <c r="L148" s="25">
        <v>1090.4000000000001</v>
      </c>
      <c r="M148" s="25">
        <v>1041.5999999999999</v>
      </c>
      <c r="N148" s="25">
        <v>529.25</v>
      </c>
      <c r="O148" s="25">
        <f>SUM(P148:Q148)</f>
        <v>1027.8</v>
      </c>
      <c r="P148" s="25">
        <v>1027.8</v>
      </c>
      <c r="Q148" s="25"/>
      <c r="R148" s="25">
        <f>SUM(S148:T148)</f>
        <v>1018.3</v>
      </c>
      <c r="S148" s="25">
        <v>1018.3</v>
      </c>
      <c r="T148" s="25"/>
      <c r="U148" s="25">
        <f>SUM(V148:W148)</f>
        <v>1028.5</v>
      </c>
      <c r="V148" s="25">
        <v>1028.5</v>
      </c>
      <c r="W148" s="25"/>
    </row>
    <row r="149" spans="1:23" s="2" customFormat="1" ht="81.75" customHeight="1">
      <c r="A149" s="24" t="s">
        <v>1266</v>
      </c>
      <c r="B149" s="229" t="s">
        <v>310</v>
      </c>
      <c r="C149" s="236" t="s">
        <v>117</v>
      </c>
      <c r="D149" s="226" t="s">
        <v>403</v>
      </c>
      <c r="E149" s="238" t="s">
        <v>95</v>
      </c>
      <c r="F149" s="238" t="s">
        <v>80</v>
      </c>
      <c r="G149" s="229">
        <v>2020125110</v>
      </c>
      <c r="H149" s="250">
        <v>200</v>
      </c>
      <c r="I149" s="554"/>
      <c r="J149" s="478"/>
      <c r="K149" s="375"/>
      <c r="L149" s="25">
        <v>744.2</v>
      </c>
      <c r="M149" s="25">
        <v>618.4</v>
      </c>
      <c r="N149" s="25">
        <v>340.9</v>
      </c>
      <c r="O149" s="25">
        <f>SUM(P149:Q149)</f>
        <v>592.20000000000005</v>
      </c>
      <c r="P149" s="25">
        <v>592.20000000000005</v>
      </c>
      <c r="Q149" s="25"/>
      <c r="R149" s="25">
        <f>SUM(S149:T149)</f>
        <v>586.79999999999995</v>
      </c>
      <c r="S149" s="25">
        <v>586.79999999999995</v>
      </c>
      <c r="T149" s="25"/>
      <c r="U149" s="25">
        <f>SUM(V149:W149)</f>
        <v>592.6</v>
      </c>
      <c r="V149" s="25">
        <v>592.6</v>
      </c>
      <c r="W149" s="25"/>
    </row>
    <row r="150" spans="1:23" s="2" customFormat="1" ht="47.25" customHeight="1">
      <c r="A150" s="24" t="s">
        <v>441</v>
      </c>
      <c r="B150" s="229" t="s">
        <v>313</v>
      </c>
      <c r="C150" s="548" t="s">
        <v>424</v>
      </c>
      <c r="D150" s="226" t="s">
        <v>394</v>
      </c>
      <c r="E150" s="238" t="s">
        <v>93</v>
      </c>
      <c r="F150" s="238" t="s">
        <v>97</v>
      </c>
      <c r="G150" s="238" t="s">
        <v>185</v>
      </c>
      <c r="H150" s="250">
        <v>200</v>
      </c>
      <c r="I150" s="551" t="s">
        <v>374</v>
      </c>
      <c r="J150" s="472" t="s">
        <v>425</v>
      </c>
      <c r="K150" s="375"/>
      <c r="L150" s="25">
        <v>439.5</v>
      </c>
      <c r="M150" s="25">
        <v>450</v>
      </c>
      <c r="N150" s="25">
        <v>354.85</v>
      </c>
      <c r="O150" s="25">
        <f>SUM(P150:Q150)</f>
        <v>423.6</v>
      </c>
      <c r="P150" s="25">
        <v>423.6</v>
      </c>
      <c r="Q150" s="25"/>
      <c r="R150" s="25">
        <f>SUM(S150:T150)</f>
        <v>419.7</v>
      </c>
      <c r="S150" s="25">
        <v>419.7</v>
      </c>
      <c r="T150" s="25"/>
      <c r="U150" s="25">
        <f>SUM(V150:W150)</f>
        <v>423.9</v>
      </c>
      <c r="V150" s="25">
        <v>423.9</v>
      </c>
      <c r="W150" s="25"/>
    </row>
    <row r="151" spans="1:23" s="2" customFormat="1" ht="43.5" customHeight="1">
      <c r="A151" s="24" t="s">
        <v>266</v>
      </c>
      <c r="B151" s="229" t="s">
        <v>313</v>
      </c>
      <c r="C151" s="549"/>
      <c r="D151" s="226" t="s">
        <v>394</v>
      </c>
      <c r="E151" s="238" t="s">
        <v>93</v>
      </c>
      <c r="F151" s="238" t="s">
        <v>97</v>
      </c>
      <c r="G151" s="238" t="s">
        <v>108</v>
      </c>
      <c r="H151" s="250">
        <v>200</v>
      </c>
      <c r="I151" s="555"/>
      <c r="J151" s="479"/>
      <c r="K151" s="375"/>
      <c r="L151" s="25">
        <v>714.1</v>
      </c>
      <c r="M151" s="25">
        <v>2454.5</v>
      </c>
      <c r="N151" s="25">
        <v>1867.9</v>
      </c>
      <c r="O151" s="25">
        <f t="shared" ref="O151:O154" si="63">SUM(P151:Q151)</f>
        <v>0</v>
      </c>
      <c r="P151" s="25"/>
      <c r="Q151" s="25"/>
      <c r="R151" s="25">
        <f t="shared" ref="R151:R154" si="64">SUM(S151:T151)</f>
        <v>0</v>
      </c>
      <c r="S151" s="25"/>
      <c r="T151" s="25"/>
      <c r="U151" s="25">
        <f t="shared" ref="U151:U154" si="65">SUM(V151:W151)</f>
        <v>0</v>
      </c>
      <c r="V151" s="25"/>
      <c r="W151" s="25"/>
    </row>
    <row r="152" spans="1:23" s="2" customFormat="1" ht="45" customHeight="1">
      <c r="A152" s="24" t="s">
        <v>268</v>
      </c>
      <c r="B152" s="229" t="s">
        <v>313</v>
      </c>
      <c r="C152" s="549"/>
      <c r="D152" s="226" t="s">
        <v>394</v>
      </c>
      <c r="E152" s="238" t="s">
        <v>93</v>
      </c>
      <c r="F152" s="238" t="s">
        <v>97</v>
      </c>
      <c r="G152" s="238" t="s">
        <v>123</v>
      </c>
      <c r="H152" s="250">
        <v>200</v>
      </c>
      <c r="I152" s="555"/>
      <c r="J152" s="479"/>
      <c r="K152" s="375"/>
      <c r="L152" s="25"/>
      <c r="M152" s="25">
        <v>7287.1</v>
      </c>
      <c r="N152" s="25">
        <v>5894.9</v>
      </c>
      <c r="O152" s="25">
        <f t="shared" si="63"/>
        <v>0</v>
      </c>
      <c r="P152" s="25"/>
      <c r="Q152" s="25"/>
      <c r="R152" s="25">
        <f t="shared" si="64"/>
        <v>0</v>
      </c>
      <c r="S152" s="25"/>
      <c r="T152" s="25"/>
      <c r="U152" s="25">
        <f t="shared" si="65"/>
        <v>0</v>
      </c>
      <c r="V152" s="25"/>
      <c r="W152" s="25"/>
    </row>
    <row r="153" spans="1:23" s="2" customFormat="1" ht="42" customHeight="1">
      <c r="A153" s="24" t="s">
        <v>269</v>
      </c>
      <c r="B153" s="229" t="s">
        <v>313</v>
      </c>
      <c r="C153" s="550"/>
      <c r="D153" s="226" t="s">
        <v>394</v>
      </c>
      <c r="E153" s="238" t="s">
        <v>93</v>
      </c>
      <c r="F153" s="238" t="s">
        <v>97</v>
      </c>
      <c r="G153" s="238" t="s">
        <v>162</v>
      </c>
      <c r="H153" s="250">
        <v>200</v>
      </c>
      <c r="I153" s="554"/>
      <c r="J153" s="478"/>
      <c r="K153" s="375"/>
      <c r="L153" s="25"/>
      <c r="M153" s="25"/>
      <c r="N153" s="25"/>
      <c r="O153" s="25">
        <f t="shared" si="63"/>
        <v>292.39999999999998</v>
      </c>
      <c r="P153" s="25">
        <v>292.39999999999998</v>
      </c>
      <c r="Q153" s="25"/>
      <c r="R153" s="25">
        <f t="shared" si="64"/>
        <v>289.7</v>
      </c>
      <c r="S153" s="25">
        <v>289.7</v>
      </c>
      <c r="T153" s="25"/>
      <c r="U153" s="25">
        <f t="shared" si="65"/>
        <v>292.60000000000002</v>
      </c>
      <c r="V153" s="25">
        <v>292.60000000000002</v>
      </c>
      <c r="W153" s="25"/>
    </row>
    <row r="154" spans="1:23" s="2" customFormat="1" ht="49.5" customHeight="1">
      <c r="A154" s="24" t="s">
        <v>270</v>
      </c>
      <c r="B154" s="229" t="s">
        <v>314</v>
      </c>
      <c r="C154" s="146" t="s">
        <v>109</v>
      </c>
      <c r="D154" s="226" t="s">
        <v>395</v>
      </c>
      <c r="E154" s="238" t="s">
        <v>98</v>
      </c>
      <c r="F154" s="238" t="s">
        <v>95</v>
      </c>
      <c r="G154" s="238" t="s">
        <v>186</v>
      </c>
      <c r="H154" s="250">
        <v>200</v>
      </c>
      <c r="I154" s="551" t="s">
        <v>205</v>
      </c>
      <c r="J154" s="472" t="s">
        <v>367</v>
      </c>
      <c r="K154" s="375"/>
      <c r="L154" s="25">
        <v>2960.8</v>
      </c>
      <c r="M154" s="25">
        <v>2933.4</v>
      </c>
      <c r="N154" s="25">
        <v>1212.6500000000001</v>
      </c>
      <c r="O154" s="25">
        <f t="shared" si="63"/>
        <v>2854.5</v>
      </c>
      <c r="P154" s="25">
        <v>2854.5</v>
      </c>
      <c r="Q154" s="25"/>
      <c r="R154" s="25">
        <f t="shared" si="64"/>
        <v>2828</v>
      </c>
      <c r="S154" s="25">
        <v>2828</v>
      </c>
      <c r="T154" s="25"/>
      <c r="U154" s="25">
        <f t="shared" si="65"/>
        <v>2856.6</v>
      </c>
      <c r="V154" s="25">
        <v>2856.6</v>
      </c>
      <c r="W154" s="25"/>
    </row>
    <row r="155" spans="1:23" s="2" customFormat="1" ht="44.25" customHeight="1">
      <c r="A155" s="24" t="s">
        <v>282</v>
      </c>
      <c r="B155" s="229" t="s">
        <v>314</v>
      </c>
      <c r="C155" s="146" t="s">
        <v>277</v>
      </c>
      <c r="D155" s="226" t="s">
        <v>395</v>
      </c>
      <c r="E155" s="238" t="s">
        <v>98</v>
      </c>
      <c r="F155" s="238" t="s">
        <v>95</v>
      </c>
      <c r="G155" s="238" t="s">
        <v>225</v>
      </c>
      <c r="H155" s="250">
        <v>200</v>
      </c>
      <c r="I155" s="552"/>
      <c r="J155" s="473"/>
      <c r="K155" s="218"/>
      <c r="L155" s="25">
        <v>146</v>
      </c>
      <c r="M155" s="25">
        <v>652.9</v>
      </c>
      <c r="N155" s="25">
        <v>275</v>
      </c>
      <c r="O155" s="25">
        <f>SUM(P155:Q155)</f>
        <v>614.70000000000005</v>
      </c>
      <c r="P155" s="25">
        <v>614.70000000000005</v>
      </c>
      <c r="Q155" s="25"/>
      <c r="R155" s="25">
        <f>SUM(S155:T155)</f>
        <v>609</v>
      </c>
      <c r="S155" s="25">
        <v>609</v>
      </c>
      <c r="T155" s="25"/>
      <c r="U155" s="25">
        <f>SUM(V155:W155)</f>
        <v>615.1</v>
      </c>
      <c r="V155" s="25">
        <v>615.1</v>
      </c>
      <c r="W155" s="25"/>
    </row>
    <row r="156" spans="1:23" s="2" customFormat="1" ht="43.5" customHeight="1">
      <c r="A156" s="24" t="s">
        <v>283</v>
      </c>
      <c r="B156" s="229" t="s">
        <v>314</v>
      </c>
      <c r="C156" s="146" t="s">
        <v>110</v>
      </c>
      <c r="D156" s="226" t="s">
        <v>395</v>
      </c>
      <c r="E156" s="238" t="s">
        <v>98</v>
      </c>
      <c r="F156" s="238" t="s">
        <v>95</v>
      </c>
      <c r="G156" s="238" t="s">
        <v>126</v>
      </c>
      <c r="H156" s="250">
        <v>200</v>
      </c>
      <c r="I156" s="552"/>
      <c r="J156" s="473"/>
      <c r="K156" s="218"/>
      <c r="L156" s="25">
        <v>74</v>
      </c>
      <c r="M156" s="25">
        <v>63.1</v>
      </c>
      <c r="N156" s="25">
        <v>48</v>
      </c>
      <c r="O156" s="25">
        <f>SUM(P156:Q156)</f>
        <v>59.4</v>
      </c>
      <c r="P156" s="25">
        <v>59.4</v>
      </c>
      <c r="Q156" s="25"/>
      <c r="R156" s="25">
        <f>SUM(S156:T156)</f>
        <v>58.8</v>
      </c>
      <c r="S156" s="25">
        <v>58.8</v>
      </c>
      <c r="T156" s="25"/>
      <c r="U156" s="25">
        <f>SUM(V156:W156)</f>
        <v>59.4</v>
      </c>
      <c r="V156" s="25">
        <v>59.4</v>
      </c>
      <c r="W156" s="25"/>
    </row>
    <row r="157" spans="1:23" s="2" customFormat="1" ht="37.5" customHeight="1">
      <c r="A157" s="24" t="s">
        <v>278</v>
      </c>
      <c r="B157" s="229" t="s">
        <v>314</v>
      </c>
      <c r="C157" s="146" t="s">
        <v>426</v>
      </c>
      <c r="D157" s="226" t="s">
        <v>395</v>
      </c>
      <c r="E157" s="238" t="s">
        <v>98</v>
      </c>
      <c r="F157" s="238" t="s">
        <v>95</v>
      </c>
      <c r="G157" s="238" t="s">
        <v>226</v>
      </c>
      <c r="H157" s="250">
        <v>200</v>
      </c>
      <c r="I157" s="552"/>
      <c r="J157" s="473"/>
      <c r="K157" s="218"/>
      <c r="L157" s="25">
        <v>10.6</v>
      </c>
      <c r="M157" s="25">
        <v>23.6</v>
      </c>
      <c r="N157" s="25"/>
      <c r="O157" s="25">
        <f>SUM(P157:Q157)</f>
        <v>22.2</v>
      </c>
      <c r="P157" s="25">
        <v>22.2</v>
      </c>
      <c r="Q157" s="25"/>
      <c r="R157" s="25">
        <f>SUM(S157:T157)</f>
        <v>22</v>
      </c>
      <c r="S157" s="25">
        <v>22</v>
      </c>
      <c r="T157" s="25"/>
      <c r="U157" s="25">
        <f>SUM(V157:W157)</f>
        <v>22.2</v>
      </c>
      <c r="V157" s="25">
        <v>22.2</v>
      </c>
      <c r="W157" s="25"/>
    </row>
    <row r="158" spans="1:23" s="2" customFormat="1" ht="44.25" customHeight="1">
      <c r="A158" s="24" t="s">
        <v>287</v>
      </c>
      <c r="B158" s="229" t="s">
        <v>314</v>
      </c>
      <c r="C158" s="146" t="s">
        <v>427</v>
      </c>
      <c r="D158" s="226" t="s">
        <v>396</v>
      </c>
      <c r="E158" s="238" t="s">
        <v>98</v>
      </c>
      <c r="F158" s="238" t="s">
        <v>95</v>
      </c>
      <c r="G158" s="238" t="s">
        <v>121</v>
      </c>
      <c r="H158" s="250">
        <v>200</v>
      </c>
      <c r="I158" s="552"/>
      <c r="J158" s="473"/>
      <c r="K158" s="218"/>
      <c r="L158" s="25">
        <v>97</v>
      </c>
      <c r="M158" s="25">
        <v>118</v>
      </c>
      <c r="N158" s="25">
        <v>118</v>
      </c>
      <c r="O158" s="25">
        <f>SUM(P158:Q158)</f>
        <v>111.1</v>
      </c>
      <c r="P158" s="25">
        <v>111.1</v>
      </c>
      <c r="Q158" s="25"/>
      <c r="R158" s="25">
        <f>SUM(S158:T158)</f>
        <v>110.1</v>
      </c>
      <c r="S158" s="25">
        <v>110.1</v>
      </c>
      <c r="T158" s="25"/>
      <c r="U158" s="25">
        <f>SUM(V158:W158)</f>
        <v>111.2</v>
      </c>
      <c r="V158" s="25">
        <v>111.2</v>
      </c>
      <c r="W158" s="25"/>
    </row>
    <row r="159" spans="1:23" s="2" customFormat="1" ht="37.5" customHeight="1">
      <c r="A159" s="24" t="s">
        <v>288</v>
      </c>
      <c r="B159" s="229" t="s">
        <v>314</v>
      </c>
      <c r="C159" s="548" t="s">
        <v>368</v>
      </c>
      <c r="D159" s="226" t="s">
        <v>395</v>
      </c>
      <c r="E159" s="238" t="s">
        <v>98</v>
      </c>
      <c r="F159" s="238" t="s">
        <v>95</v>
      </c>
      <c r="G159" s="238" t="s">
        <v>178</v>
      </c>
      <c r="H159" s="250">
        <v>200</v>
      </c>
      <c r="I159" s="552"/>
      <c r="J159" s="473"/>
      <c r="K159" s="218"/>
      <c r="L159" s="25">
        <v>191.7</v>
      </c>
      <c r="M159" s="25">
        <v>126.6</v>
      </c>
      <c r="N159" s="25">
        <v>110.2</v>
      </c>
      <c r="O159" s="25">
        <f t="shared" ref="O159:O163" si="66">SUM(P159:Q159)</f>
        <v>119.1</v>
      </c>
      <c r="P159" s="25">
        <v>119.1</v>
      </c>
      <c r="Q159" s="25"/>
      <c r="R159" s="25">
        <f t="shared" ref="R159:R163" si="67">SUM(S159:T159)</f>
        <v>118</v>
      </c>
      <c r="S159" s="25">
        <v>118</v>
      </c>
      <c r="T159" s="25"/>
      <c r="U159" s="25">
        <f t="shared" ref="U159:U163" si="68">SUM(V159:W159)</f>
        <v>119.2</v>
      </c>
      <c r="V159" s="25">
        <v>119.2</v>
      </c>
      <c r="W159" s="25"/>
    </row>
    <row r="160" spans="1:23" s="2" customFormat="1" ht="41.25" customHeight="1">
      <c r="A160" s="24" t="s">
        <v>297</v>
      </c>
      <c r="B160" s="229" t="s">
        <v>314</v>
      </c>
      <c r="C160" s="549"/>
      <c r="D160" s="226" t="s">
        <v>395</v>
      </c>
      <c r="E160" s="238" t="s">
        <v>98</v>
      </c>
      <c r="F160" s="238" t="s">
        <v>95</v>
      </c>
      <c r="G160" s="238" t="s">
        <v>380</v>
      </c>
      <c r="H160" s="250">
        <v>200</v>
      </c>
      <c r="I160" s="552"/>
      <c r="J160" s="473"/>
      <c r="K160" s="218"/>
      <c r="L160" s="25"/>
      <c r="M160" s="25">
        <v>794.7</v>
      </c>
      <c r="N160" s="25">
        <v>687.47</v>
      </c>
      <c r="O160" s="25">
        <f t="shared" si="66"/>
        <v>0</v>
      </c>
      <c r="P160" s="25"/>
      <c r="Q160" s="25"/>
      <c r="R160" s="25">
        <f t="shared" si="67"/>
        <v>0</v>
      </c>
      <c r="S160" s="25"/>
      <c r="T160" s="25"/>
      <c r="U160" s="25">
        <f t="shared" si="68"/>
        <v>0</v>
      </c>
      <c r="V160" s="25"/>
      <c r="W160" s="25"/>
    </row>
    <row r="161" spans="1:23" s="2" customFormat="1" ht="41.25" customHeight="1">
      <c r="A161" s="24" t="s">
        <v>298</v>
      </c>
      <c r="B161" s="229" t="s">
        <v>314</v>
      </c>
      <c r="C161" s="549"/>
      <c r="D161" s="226" t="s">
        <v>395</v>
      </c>
      <c r="E161" s="238" t="s">
        <v>98</v>
      </c>
      <c r="F161" s="238" t="s">
        <v>95</v>
      </c>
      <c r="G161" s="238" t="s">
        <v>1010</v>
      </c>
      <c r="H161" s="250">
        <v>200</v>
      </c>
      <c r="I161" s="552"/>
      <c r="J161" s="473"/>
      <c r="K161" s="218"/>
      <c r="L161" s="25">
        <v>1148.5</v>
      </c>
      <c r="M161" s="25"/>
      <c r="N161" s="25"/>
      <c r="O161" s="25">
        <f t="shared" si="66"/>
        <v>0</v>
      </c>
      <c r="P161" s="25"/>
      <c r="Q161" s="25"/>
      <c r="R161" s="25">
        <f t="shared" si="67"/>
        <v>0</v>
      </c>
      <c r="S161" s="25"/>
      <c r="T161" s="25"/>
      <c r="U161" s="25">
        <f t="shared" si="68"/>
        <v>0</v>
      </c>
      <c r="V161" s="25"/>
      <c r="W161" s="25"/>
    </row>
    <row r="162" spans="1:23" s="2" customFormat="1" ht="36.75" customHeight="1">
      <c r="A162" s="24" t="s">
        <v>289</v>
      </c>
      <c r="B162" s="229" t="s">
        <v>314</v>
      </c>
      <c r="C162" s="550"/>
      <c r="D162" s="226" t="s">
        <v>395</v>
      </c>
      <c r="E162" s="238" t="s">
        <v>98</v>
      </c>
      <c r="F162" s="238" t="s">
        <v>95</v>
      </c>
      <c r="G162" s="238" t="s">
        <v>94</v>
      </c>
      <c r="H162" s="250">
        <v>200</v>
      </c>
      <c r="I162" s="553"/>
      <c r="J162" s="474"/>
      <c r="K162" s="218"/>
      <c r="L162" s="25">
        <v>150</v>
      </c>
      <c r="M162" s="25">
        <v>300</v>
      </c>
      <c r="N162" s="25">
        <v>200</v>
      </c>
      <c r="O162" s="25">
        <f t="shared" si="66"/>
        <v>200</v>
      </c>
      <c r="P162" s="25">
        <v>200</v>
      </c>
      <c r="Q162" s="25"/>
      <c r="R162" s="25">
        <f t="shared" si="67"/>
        <v>198.1</v>
      </c>
      <c r="S162" s="25">
        <v>198.1</v>
      </c>
      <c r="T162" s="25"/>
      <c r="U162" s="25">
        <f t="shared" si="68"/>
        <v>200.1</v>
      </c>
      <c r="V162" s="25">
        <v>200.1</v>
      </c>
      <c r="W162" s="25"/>
    </row>
    <row r="163" spans="1:23" s="2" customFormat="1" ht="93.75" customHeight="1">
      <c r="A163" s="24" t="s">
        <v>1257</v>
      </c>
      <c r="B163" s="229" t="s">
        <v>314</v>
      </c>
      <c r="C163" s="146" t="s">
        <v>113</v>
      </c>
      <c r="D163" s="226" t="s">
        <v>393</v>
      </c>
      <c r="E163" s="238" t="s">
        <v>98</v>
      </c>
      <c r="F163" s="238" t="s">
        <v>98</v>
      </c>
      <c r="G163" s="238" t="s">
        <v>100</v>
      </c>
      <c r="H163" s="250">
        <v>200</v>
      </c>
      <c r="I163" s="70" t="s">
        <v>369</v>
      </c>
      <c r="J163" s="218"/>
      <c r="K163" s="218"/>
      <c r="L163" s="25">
        <v>636.79999999999995</v>
      </c>
      <c r="M163" s="25">
        <v>605</v>
      </c>
      <c r="N163" s="25">
        <v>392.67</v>
      </c>
      <c r="O163" s="25">
        <f t="shared" si="66"/>
        <v>605.1</v>
      </c>
      <c r="P163" s="25">
        <v>605.1</v>
      </c>
      <c r="Q163" s="25"/>
      <c r="R163" s="25">
        <f t="shared" si="67"/>
        <v>599.5</v>
      </c>
      <c r="S163" s="25">
        <v>599.5</v>
      </c>
      <c r="T163" s="25"/>
      <c r="U163" s="25">
        <f t="shared" si="68"/>
        <v>605.5</v>
      </c>
      <c r="V163" s="25">
        <v>605.5</v>
      </c>
      <c r="W163" s="25"/>
    </row>
    <row r="164" spans="1:23" s="2" customFormat="1" ht="51" customHeight="1">
      <c r="A164" s="24" t="s">
        <v>50</v>
      </c>
      <c r="B164" s="229" t="s">
        <v>1267</v>
      </c>
      <c r="C164" s="16"/>
      <c r="D164" s="16"/>
      <c r="E164" s="229"/>
      <c r="F164" s="229"/>
      <c r="G164" s="229"/>
      <c r="H164" s="250">
        <v>800</v>
      </c>
      <c r="I164" s="374"/>
      <c r="J164" s="374"/>
      <c r="K164" s="375"/>
      <c r="L164" s="25">
        <f t="shared" ref="L164:W164" si="69">SUM(L165:L165)</f>
        <v>25</v>
      </c>
      <c r="M164" s="25">
        <f t="shared" si="69"/>
        <v>58.2</v>
      </c>
      <c r="N164" s="25">
        <f t="shared" si="69"/>
        <v>49</v>
      </c>
      <c r="O164" s="25">
        <f t="shared" si="69"/>
        <v>60.3</v>
      </c>
      <c r="P164" s="25">
        <f t="shared" si="69"/>
        <v>60.3</v>
      </c>
      <c r="Q164" s="25">
        <f t="shared" si="69"/>
        <v>0</v>
      </c>
      <c r="R164" s="25">
        <f t="shared" si="69"/>
        <v>59.7</v>
      </c>
      <c r="S164" s="25">
        <f t="shared" si="69"/>
        <v>59.7</v>
      </c>
      <c r="T164" s="25">
        <f t="shared" si="69"/>
        <v>0</v>
      </c>
      <c r="U164" s="25">
        <f t="shared" si="69"/>
        <v>60.3</v>
      </c>
      <c r="V164" s="25">
        <f t="shared" si="69"/>
        <v>60.3</v>
      </c>
      <c r="W164" s="25">
        <f t="shared" si="69"/>
        <v>0</v>
      </c>
    </row>
    <row r="165" spans="1:23" s="2" customFormat="1" ht="102" customHeight="1">
      <c r="A165" s="24" t="s">
        <v>51</v>
      </c>
      <c r="B165" s="229" t="s">
        <v>314</v>
      </c>
      <c r="C165" s="146" t="s">
        <v>113</v>
      </c>
      <c r="D165" s="226" t="s">
        <v>393</v>
      </c>
      <c r="E165" s="238" t="s">
        <v>98</v>
      </c>
      <c r="F165" s="238" t="s">
        <v>98</v>
      </c>
      <c r="G165" s="238" t="s">
        <v>100</v>
      </c>
      <c r="H165" s="250">
        <v>800</v>
      </c>
      <c r="I165" s="70" t="s">
        <v>369</v>
      </c>
      <c r="J165" s="374"/>
      <c r="K165" s="375"/>
      <c r="L165" s="25">
        <v>25</v>
      </c>
      <c r="M165" s="25">
        <v>58.2</v>
      </c>
      <c r="N165" s="25">
        <v>49</v>
      </c>
      <c r="O165" s="25">
        <f>SUM(P165:Q165)</f>
        <v>60.3</v>
      </c>
      <c r="P165" s="25">
        <v>60.3</v>
      </c>
      <c r="Q165" s="25"/>
      <c r="R165" s="25">
        <f>SUM(S165:T165)</f>
        <v>59.7</v>
      </c>
      <c r="S165" s="25">
        <v>59.7</v>
      </c>
      <c r="T165" s="25"/>
      <c r="U165" s="25">
        <f>SUM(V165:W165)</f>
        <v>60.3</v>
      </c>
      <c r="V165" s="25">
        <v>60.3</v>
      </c>
      <c r="W165" s="25"/>
    </row>
    <row r="166" spans="1:23" s="336" customFormat="1" ht="56.25">
      <c r="A166" s="12" t="s">
        <v>125</v>
      </c>
      <c r="B166" s="180" t="s">
        <v>1268</v>
      </c>
      <c r="C166" s="8"/>
      <c r="D166" s="644"/>
      <c r="E166" s="644"/>
      <c r="F166" s="644"/>
      <c r="G166" s="644"/>
      <c r="H166" s="644"/>
      <c r="I166" s="8"/>
      <c r="J166" s="8"/>
      <c r="K166" s="8" t="s">
        <v>62</v>
      </c>
      <c r="L166" s="19">
        <f>SUM(L167)</f>
        <v>22293.077000000001</v>
      </c>
      <c r="M166" s="19">
        <f t="shared" ref="M166:W166" si="70">SUM(M167)</f>
        <v>25662.57</v>
      </c>
      <c r="N166" s="19">
        <f t="shared" si="70"/>
        <v>15729.99</v>
      </c>
      <c r="O166" s="19">
        <f t="shared" si="70"/>
        <v>21604.499999999996</v>
      </c>
      <c r="P166" s="19">
        <f t="shared" si="70"/>
        <v>21604.499999999996</v>
      </c>
      <c r="Q166" s="19">
        <f t="shared" si="70"/>
        <v>0</v>
      </c>
      <c r="R166" s="19">
        <f t="shared" si="70"/>
        <v>21404.199999999997</v>
      </c>
      <c r="S166" s="19">
        <f t="shared" si="70"/>
        <v>21404.199999999997</v>
      </c>
      <c r="T166" s="19">
        <f t="shared" si="70"/>
        <v>0</v>
      </c>
      <c r="U166" s="19">
        <f t="shared" si="70"/>
        <v>21619.599999999999</v>
      </c>
      <c r="V166" s="19">
        <f t="shared" si="70"/>
        <v>21619.599999999999</v>
      </c>
      <c r="W166" s="19">
        <f t="shared" si="70"/>
        <v>0</v>
      </c>
    </row>
    <row r="167" spans="1:23" s="336" customFormat="1">
      <c r="A167" s="630" t="s">
        <v>9</v>
      </c>
      <c r="B167" s="421" t="s">
        <v>67</v>
      </c>
      <c r="C167" s="421"/>
      <c r="D167" s="421"/>
      <c r="E167" s="421"/>
      <c r="F167" s="421"/>
      <c r="G167" s="421"/>
      <c r="H167" s="421"/>
      <c r="I167" s="421"/>
      <c r="J167" s="421"/>
      <c r="K167" s="421"/>
      <c r="L167" s="20">
        <f t="shared" ref="L167:W167" si="71">L168+L174+L198</f>
        <v>22293.077000000001</v>
      </c>
      <c r="M167" s="20">
        <f t="shared" si="71"/>
        <v>25662.57</v>
      </c>
      <c r="N167" s="20">
        <f t="shared" si="71"/>
        <v>15729.99</v>
      </c>
      <c r="O167" s="20">
        <f t="shared" si="71"/>
        <v>21604.499999999996</v>
      </c>
      <c r="P167" s="20">
        <f t="shared" si="71"/>
        <v>21604.499999999996</v>
      </c>
      <c r="Q167" s="20">
        <f t="shared" si="71"/>
        <v>0</v>
      </c>
      <c r="R167" s="20">
        <f t="shared" si="71"/>
        <v>21404.199999999997</v>
      </c>
      <c r="S167" s="20">
        <f t="shared" si="71"/>
        <v>21404.199999999997</v>
      </c>
      <c r="T167" s="20">
        <f t="shared" si="71"/>
        <v>0</v>
      </c>
      <c r="U167" s="20">
        <f t="shared" si="71"/>
        <v>21619.599999999999</v>
      </c>
      <c r="V167" s="20">
        <f t="shared" si="71"/>
        <v>21619.599999999999</v>
      </c>
      <c r="W167" s="20">
        <f t="shared" si="71"/>
        <v>0</v>
      </c>
    </row>
    <row r="168" spans="1:23" s="337" customFormat="1" ht="300">
      <c r="A168" s="133" t="s">
        <v>57</v>
      </c>
      <c r="B168" s="229"/>
      <c r="C168" s="121" t="s">
        <v>378</v>
      </c>
      <c r="D168" s="226" t="s">
        <v>383</v>
      </c>
      <c r="E168" s="226" t="s">
        <v>92</v>
      </c>
      <c r="F168" s="226" t="s">
        <v>93</v>
      </c>
      <c r="G168" s="250">
        <v>7770100190</v>
      </c>
      <c r="H168" s="250"/>
      <c r="I168" s="449" t="s">
        <v>199</v>
      </c>
      <c r="J168" s="424" t="s">
        <v>200</v>
      </c>
      <c r="K168" s="121"/>
      <c r="L168" s="22">
        <f t="shared" ref="L168:W168" si="72">SUM(L169:L173)</f>
        <v>3518.8269999999998</v>
      </c>
      <c r="M168" s="22">
        <f t="shared" si="72"/>
        <v>2835.9</v>
      </c>
      <c r="N168" s="22">
        <f t="shared" si="72"/>
        <v>1854.9750000000001</v>
      </c>
      <c r="O168" s="22">
        <f t="shared" si="72"/>
        <v>3109</v>
      </c>
      <c r="P168" s="22">
        <f t="shared" si="72"/>
        <v>3109</v>
      </c>
      <c r="Q168" s="22">
        <f t="shared" si="72"/>
        <v>0</v>
      </c>
      <c r="R168" s="22">
        <f t="shared" si="72"/>
        <v>3080.2</v>
      </c>
      <c r="S168" s="22">
        <f t="shared" si="72"/>
        <v>3080.2</v>
      </c>
      <c r="T168" s="22">
        <f t="shared" si="72"/>
        <v>0</v>
      </c>
      <c r="U168" s="22">
        <f t="shared" si="72"/>
        <v>3111.2</v>
      </c>
      <c r="V168" s="22">
        <f t="shared" si="72"/>
        <v>3111.2</v>
      </c>
      <c r="W168" s="22">
        <f t="shared" si="72"/>
        <v>0</v>
      </c>
    </row>
    <row r="169" spans="1:23" s="337" customFormat="1" ht="300">
      <c r="A169" s="225" t="s">
        <v>10</v>
      </c>
      <c r="B169" s="229" t="s">
        <v>68</v>
      </c>
      <c r="C169" s="121" t="s">
        <v>378</v>
      </c>
      <c r="D169" s="226" t="s">
        <v>383</v>
      </c>
      <c r="E169" s="226" t="s">
        <v>92</v>
      </c>
      <c r="F169" s="226" t="s">
        <v>93</v>
      </c>
      <c r="G169" s="250">
        <v>7770100190</v>
      </c>
      <c r="H169" s="250">
        <v>100</v>
      </c>
      <c r="I169" s="449"/>
      <c r="J169" s="424"/>
      <c r="K169" s="121"/>
      <c r="L169" s="25">
        <f>2004.037-19.2</f>
        <v>1984.837</v>
      </c>
      <c r="M169" s="25">
        <f>1990.2-20.1</f>
        <v>1970.1000000000001</v>
      </c>
      <c r="N169" s="25">
        <f>1331.25-17.3</f>
        <v>1313.95</v>
      </c>
      <c r="O169" s="25">
        <f>P169+Q169</f>
        <v>2199.1</v>
      </c>
      <c r="P169" s="25">
        <v>2199.1</v>
      </c>
      <c r="Q169" s="25">
        <v>0</v>
      </c>
      <c r="R169" s="25">
        <f>SUM(S169:T169)</f>
        <v>2199.6</v>
      </c>
      <c r="S169" s="25">
        <v>2199.6</v>
      </c>
      <c r="T169" s="25">
        <v>0</v>
      </c>
      <c r="U169" s="25">
        <f>SUM(V169:W169)</f>
        <v>2201.1999999999998</v>
      </c>
      <c r="V169" s="25">
        <v>2201.1999999999998</v>
      </c>
      <c r="W169" s="25">
        <v>0</v>
      </c>
    </row>
    <row r="170" spans="1:23" s="337" customFormat="1" ht="37.5">
      <c r="A170" s="225" t="s">
        <v>326</v>
      </c>
      <c r="B170" s="229" t="s">
        <v>1015</v>
      </c>
      <c r="C170" s="121"/>
      <c r="D170" s="226" t="s">
        <v>383</v>
      </c>
      <c r="E170" s="226" t="s">
        <v>92</v>
      </c>
      <c r="F170" s="226" t="s">
        <v>93</v>
      </c>
      <c r="G170" s="250">
        <v>7770455490</v>
      </c>
      <c r="H170" s="250">
        <v>100</v>
      </c>
      <c r="I170" s="449"/>
      <c r="J170" s="424"/>
      <c r="K170" s="121"/>
      <c r="L170" s="25">
        <v>80</v>
      </c>
      <c r="M170" s="25">
        <v>0</v>
      </c>
      <c r="N170" s="25">
        <v>0</v>
      </c>
      <c r="O170" s="25">
        <f t="shared" ref="O170:O172" si="73">P170+Q170</f>
        <v>0</v>
      </c>
      <c r="P170" s="25">
        <v>0</v>
      </c>
      <c r="Q170" s="25">
        <v>0</v>
      </c>
      <c r="R170" s="25">
        <f t="shared" ref="R170:R173" si="74">SUM(S170:T170)</f>
        <v>0</v>
      </c>
      <c r="S170" s="25">
        <v>0</v>
      </c>
      <c r="T170" s="25">
        <v>0</v>
      </c>
      <c r="U170" s="25">
        <f t="shared" ref="U170:U173" si="75">SUM(V170:W170)</f>
        <v>0</v>
      </c>
      <c r="V170" s="25">
        <v>0</v>
      </c>
      <c r="W170" s="25">
        <v>0</v>
      </c>
    </row>
    <row r="171" spans="1:23" s="337" customFormat="1" ht="37.5">
      <c r="A171" s="225" t="s">
        <v>306</v>
      </c>
      <c r="B171" s="229" t="s">
        <v>68</v>
      </c>
      <c r="C171" s="121"/>
      <c r="D171" s="226" t="s">
        <v>349</v>
      </c>
      <c r="E171" s="226" t="s">
        <v>92</v>
      </c>
      <c r="F171" s="226" t="s">
        <v>93</v>
      </c>
      <c r="G171" s="250">
        <v>7770100190</v>
      </c>
      <c r="H171" s="250">
        <v>100</v>
      </c>
      <c r="I171" s="449"/>
      <c r="J171" s="424"/>
      <c r="K171" s="121"/>
      <c r="L171" s="25">
        <v>618.25</v>
      </c>
      <c r="M171" s="25">
        <v>595.1</v>
      </c>
      <c r="N171" s="25">
        <v>354.09500000000003</v>
      </c>
      <c r="O171" s="25">
        <f t="shared" si="73"/>
        <v>665</v>
      </c>
      <c r="P171" s="25">
        <v>665</v>
      </c>
      <c r="Q171" s="25">
        <v>0</v>
      </c>
      <c r="R171" s="25">
        <f t="shared" si="74"/>
        <v>638</v>
      </c>
      <c r="S171" s="25">
        <v>638</v>
      </c>
      <c r="T171" s="25">
        <v>0</v>
      </c>
      <c r="U171" s="25">
        <f t="shared" si="75"/>
        <v>665</v>
      </c>
      <c r="V171" s="25">
        <v>665</v>
      </c>
      <c r="W171" s="25">
        <v>0</v>
      </c>
    </row>
    <row r="172" spans="1:23" s="337" customFormat="1" ht="300">
      <c r="A172" s="225" t="s">
        <v>212</v>
      </c>
      <c r="B172" s="229" t="s">
        <v>69</v>
      </c>
      <c r="C172" s="121" t="s">
        <v>378</v>
      </c>
      <c r="D172" s="226" t="s">
        <v>349</v>
      </c>
      <c r="E172" s="226" t="s">
        <v>92</v>
      </c>
      <c r="F172" s="226" t="s">
        <v>93</v>
      </c>
      <c r="G172" s="250">
        <v>7770100190</v>
      </c>
      <c r="H172" s="250">
        <v>200</v>
      </c>
      <c r="I172" s="455"/>
      <c r="J172" s="424"/>
      <c r="K172" s="125"/>
      <c r="L172" s="25">
        <v>466.76</v>
      </c>
      <c r="M172" s="25">
        <v>270.7</v>
      </c>
      <c r="N172" s="25">
        <v>186.93</v>
      </c>
      <c r="O172" s="25">
        <f t="shared" si="73"/>
        <v>244.9</v>
      </c>
      <c r="P172" s="25">
        <v>244.9</v>
      </c>
      <c r="Q172" s="25">
        <v>0</v>
      </c>
      <c r="R172" s="25">
        <f t="shared" si="74"/>
        <v>242.6</v>
      </c>
      <c r="S172" s="25">
        <v>242.6</v>
      </c>
      <c r="T172" s="25">
        <v>0</v>
      </c>
      <c r="U172" s="25">
        <f t="shared" si="75"/>
        <v>245</v>
      </c>
      <c r="V172" s="25">
        <v>245</v>
      </c>
      <c r="W172" s="25">
        <v>0</v>
      </c>
    </row>
    <row r="173" spans="1:23" s="337" customFormat="1" ht="75">
      <c r="A173" s="225" t="s">
        <v>1232</v>
      </c>
      <c r="B173" s="229" t="s">
        <v>1233</v>
      </c>
      <c r="C173" s="121"/>
      <c r="D173" s="226" t="s">
        <v>1021</v>
      </c>
      <c r="E173" s="226" t="s">
        <v>92</v>
      </c>
      <c r="F173" s="226" t="s">
        <v>83</v>
      </c>
      <c r="G173" s="250">
        <v>1710421050</v>
      </c>
      <c r="H173" s="250">
        <v>200</v>
      </c>
      <c r="I173" s="122" t="s">
        <v>1269</v>
      </c>
      <c r="J173" s="121">
        <v>44714</v>
      </c>
      <c r="K173" s="125"/>
      <c r="L173" s="25">
        <v>368.98</v>
      </c>
      <c r="M173" s="25">
        <v>0</v>
      </c>
      <c r="N173" s="25">
        <v>0</v>
      </c>
      <c r="O173" s="25">
        <f t="shared" ref="O173" si="76">SUM(P173:Q173)</f>
        <v>0</v>
      </c>
      <c r="P173" s="25">
        <v>0</v>
      </c>
      <c r="Q173" s="25">
        <v>0</v>
      </c>
      <c r="R173" s="25">
        <f t="shared" si="74"/>
        <v>0</v>
      </c>
      <c r="S173" s="25">
        <v>0</v>
      </c>
      <c r="T173" s="25">
        <v>0</v>
      </c>
      <c r="U173" s="25">
        <f t="shared" si="75"/>
        <v>0</v>
      </c>
      <c r="V173" s="25">
        <v>0</v>
      </c>
      <c r="W173" s="25">
        <v>0</v>
      </c>
    </row>
    <row r="174" spans="1:23" s="337" customFormat="1">
      <c r="A174" s="416" t="s">
        <v>88</v>
      </c>
      <c r="B174" s="416"/>
      <c r="C174" s="416"/>
      <c r="D174" s="416"/>
      <c r="E174" s="416"/>
      <c r="F174" s="416"/>
      <c r="G174" s="416"/>
      <c r="H174" s="416"/>
      <c r="I174" s="416"/>
      <c r="J174" s="416"/>
      <c r="K174" s="416"/>
      <c r="L174" s="22">
        <f>L175+L179+L198</f>
        <v>18755.11</v>
      </c>
      <c r="M174" s="22">
        <f>M175+M179+M198</f>
        <v>22806.57</v>
      </c>
      <c r="N174" s="22">
        <f>N175+N179+N198</f>
        <v>13857.744999999999</v>
      </c>
      <c r="O174" s="22">
        <f t="shared" ref="O174:W174" si="77">O175+O179</f>
        <v>18476.699999999997</v>
      </c>
      <c r="P174" s="22">
        <f t="shared" si="77"/>
        <v>18476.699999999997</v>
      </c>
      <c r="Q174" s="22">
        <f t="shared" si="77"/>
        <v>0</v>
      </c>
      <c r="R174" s="22">
        <f t="shared" si="77"/>
        <v>18305.399999999998</v>
      </c>
      <c r="S174" s="22">
        <f t="shared" si="77"/>
        <v>18305.399999999998</v>
      </c>
      <c r="T174" s="22">
        <f t="shared" si="77"/>
        <v>0</v>
      </c>
      <c r="U174" s="22">
        <f t="shared" si="77"/>
        <v>18489.599999999999</v>
      </c>
      <c r="V174" s="22">
        <f t="shared" si="77"/>
        <v>18489.599999999999</v>
      </c>
      <c r="W174" s="22">
        <f t="shared" si="77"/>
        <v>0</v>
      </c>
    </row>
    <row r="175" spans="1:23" s="337" customFormat="1">
      <c r="A175" s="161" t="s">
        <v>12</v>
      </c>
      <c r="B175" s="205" t="s">
        <v>58</v>
      </c>
      <c r="C175" s="135"/>
      <c r="D175" s="135"/>
      <c r="E175" s="257"/>
      <c r="F175" s="257"/>
      <c r="G175" s="257"/>
      <c r="H175" s="257">
        <v>100</v>
      </c>
      <c r="I175" s="111"/>
      <c r="J175" s="121"/>
      <c r="K175" s="121"/>
      <c r="L175" s="25">
        <f>L176</f>
        <v>10525.400000000001</v>
      </c>
      <c r="M175" s="25">
        <f t="shared" ref="M175:W175" si="78">M176</f>
        <v>10837.7</v>
      </c>
      <c r="N175" s="25">
        <f t="shared" si="78"/>
        <v>7150.57</v>
      </c>
      <c r="O175" s="25">
        <f t="shared" si="78"/>
        <v>14042.3</v>
      </c>
      <c r="P175" s="25">
        <f t="shared" si="78"/>
        <v>14042.3</v>
      </c>
      <c r="Q175" s="25">
        <f t="shared" si="78"/>
        <v>0</v>
      </c>
      <c r="R175" s="25">
        <f t="shared" si="78"/>
        <v>13912.099999999999</v>
      </c>
      <c r="S175" s="25">
        <f t="shared" si="78"/>
        <v>13912.099999999999</v>
      </c>
      <c r="T175" s="25">
        <f t="shared" si="78"/>
        <v>0</v>
      </c>
      <c r="U175" s="25">
        <f t="shared" si="78"/>
        <v>14052.3</v>
      </c>
      <c r="V175" s="25">
        <f t="shared" si="78"/>
        <v>14052.3</v>
      </c>
      <c r="W175" s="25">
        <f t="shared" si="78"/>
        <v>0</v>
      </c>
    </row>
    <row r="176" spans="1:23" s="337" customFormat="1" ht="37.5">
      <c r="A176" s="225" t="s">
        <v>48</v>
      </c>
      <c r="B176" s="229" t="s">
        <v>1270</v>
      </c>
      <c r="C176" s="121"/>
      <c r="D176" s="218"/>
      <c r="E176" s="250"/>
      <c r="F176" s="250"/>
      <c r="G176" s="250"/>
      <c r="H176" s="250">
        <v>100</v>
      </c>
      <c r="I176" s="111"/>
      <c r="J176" s="121"/>
      <c r="K176" s="121"/>
      <c r="L176" s="25">
        <f>L177+L178</f>
        <v>10525.400000000001</v>
      </c>
      <c r="M176" s="25">
        <f t="shared" ref="M176:W176" si="79">M177+M178</f>
        <v>10837.7</v>
      </c>
      <c r="N176" s="25">
        <f t="shared" si="79"/>
        <v>7150.57</v>
      </c>
      <c r="O176" s="25">
        <f t="shared" si="79"/>
        <v>14042.3</v>
      </c>
      <c r="P176" s="25">
        <f t="shared" si="79"/>
        <v>14042.3</v>
      </c>
      <c r="Q176" s="25">
        <f t="shared" si="79"/>
        <v>0</v>
      </c>
      <c r="R176" s="25">
        <f t="shared" si="79"/>
        <v>13912.099999999999</v>
      </c>
      <c r="S176" s="25">
        <f t="shared" si="79"/>
        <v>13912.099999999999</v>
      </c>
      <c r="T176" s="25">
        <f t="shared" si="79"/>
        <v>0</v>
      </c>
      <c r="U176" s="25">
        <f t="shared" si="79"/>
        <v>14052.3</v>
      </c>
      <c r="V176" s="25">
        <f t="shared" si="79"/>
        <v>14052.3</v>
      </c>
      <c r="W176" s="25">
        <f t="shared" si="79"/>
        <v>0</v>
      </c>
    </row>
    <row r="177" spans="1:23" s="337" customFormat="1" ht="409.5">
      <c r="A177" s="225" t="s">
        <v>235</v>
      </c>
      <c r="B177" s="229" t="s">
        <v>236</v>
      </c>
      <c r="C177" s="121" t="s">
        <v>408</v>
      </c>
      <c r="D177" s="226" t="s">
        <v>403</v>
      </c>
      <c r="E177" s="226" t="s">
        <v>95</v>
      </c>
      <c r="F177" s="226" t="s">
        <v>80</v>
      </c>
      <c r="G177" s="226" t="s">
        <v>96</v>
      </c>
      <c r="H177" s="250">
        <v>100</v>
      </c>
      <c r="I177" s="125" t="s">
        <v>201</v>
      </c>
      <c r="J177" s="121" t="s">
        <v>1271</v>
      </c>
      <c r="K177" s="121"/>
      <c r="L177" s="25">
        <v>6914.56</v>
      </c>
      <c r="M177" s="25">
        <v>6416.3</v>
      </c>
      <c r="N177" s="25">
        <v>4645.7299999999996</v>
      </c>
      <c r="O177" s="25">
        <f t="shared" ref="O177:O178" si="80">P177+Q177</f>
        <v>9121.5</v>
      </c>
      <c r="P177" s="25">
        <v>9121.5</v>
      </c>
      <c r="Q177" s="25">
        <v>0</v>
      </c>
      <c r="R177" s="25">
        <f>S177+T177</f>
        <v>9036.9</v>
      </c>
      <c r="S177" s="25">
        <v>9036.9</v>
      </c>
      <c r="T177" s="25">
        <v>0</v>
      </c>
      <c r="U177" s="25">
        <f t="shared" ref="U177:U178" si="81">V177+W177</f>
        <v>9128</v>
      </c>
      <c r="V177" s="25">
        <v>9128</v>
      </c>
      <c r="W177" s="25">
        <v>0</v>
      </c>
    </row>
    <row r="178" spans="1:23" s="337" customFormat="1" ht="409.5">
      <c r="A178" s="225" t="s">
        <v>237</v>
      </c>
      <c r="B178" s="229" t="s">
        <v>238</v>
      </c>
      <c r="C178" s="121" t="s">
        <v>113</v>
      </c>
      <c r="D178" s="226" t="s">
        <v>393</v>
      </c>
      <c r="E178" s="226" t="s">
        <v>98</v>
      </c>
      <c r="F178" s="226" t="s">
        <v>98</v>
      </c>
      <c r="G178" s="226" t="s">
        <v>100</v>
      </c>
      <c r="H178" s="250">
        <v>100</v>
      </c>
      <c r="I178" s="125" t="s">
        <v>203</v>
      </c>
      <c r="J178" s="121" t="s">
        <v>206</v>
      </c>
      <c r="K178" s="121"/>
      <c r="L178" s="25">
        <v>3610.84</v>
      </c>
      <c r="M178" s="25">
        <v>4421.3999999999996</v>
      </c>
      <c r="N178" s="25">
        <v>2504.84</v>
      </c>
      <c r="O178" s="22">
        <f t="shared" si="80"/>
        <v>4920.8</v>
      </c>
      <c r="P178" s="25">
        <v>4920.8</v>
      </c>
      <c r="Q178" s="25">
        <v>0</v>
      </c>
      <c r="R178" s="25">
        <f>S178+T178</f>
        <v>4875.2</v>
      </c>
      <c r="S178" s="25">
        <v>4875.2</v>
      </c>
      <c r="T178" s="25">
        <v>0</v>
      </c>
      <c r="U178" s="25">
        <f t="shared" si="81"/>
        <v>4924.3</v>
      </c>
      <c r="V178" s="25">
        <v>4924.3</v>
      </c>
      <c r="W178" s="25">
        <v>0</v>
      </c>
    </row>
    <row r="179" spans="1:23" s="337" customFormat="1" ht="37.5">
      <c r="A179" s="161" t="s">
        <v>13</v>
      </c>
      <c r="B179" s="205" t="s">
        <v>32</v>
      </c>
      <c r="C179" s="136"/>
      <c r="D179" s="55"/>
      <c r="E179" s="257"/>
      <c r="F179" s="257"/>
      <c r="G179" s="257"/>
      <c r="H179" s="257">
        <v>200</v>
      </c>
      <c r="I179" s="111"/>
      <c r="J179" s="111"/>
      <c r="K179" s="125"/>
      <c r="L179" s="22">
        <f>L180</f>
        <v>8210.57</v>
      </c>
      <c r="M179" s="22">
        <f t="shared" ref="M179:W179" si="82">M180</f>
        <v>11948.77</v>
      </c>
      <c r="N179" s="22">
        <f t="shared" si="82"/>
        <v>6689.9049999999997</v>
      </c>
      <c r="O179" s="22">
        <f t="shared" si="82"/>
        <v>4434.3999999999987</v>
      </c>
      <c r="P179" s="22">
        <f t="shared" si="82"/>
        <v>4434.3999999999987</v>
      </c>
      <c r="Q179" s="22">
        <f t="shared" si="82"/>
        <v>0</v>
      </c>
      <c r="R179" s="22">
        <f t="shared" si="82"/>
        <v>4393.2999999999993</v>
      </c>
      <c r="S179" s="22">
        <f t="shared" si="82"/>
        <v>4393.2999999999993</v>
      </c>
      <c r="T179" s="22">
        <f t="shared" si="82"/>
        <v>0</v>
      </c>
      <c r="U179" s="22">
        <f t="shared" si="82"/>
        <v>4437.3</v>
      </c>
      <c r="V179" s="22">
        <f t="shared" si="82"/>
        <v>4437.3</v>
      </c>
      <c r="W179" s="22">
        <f t="shared" si="82"/>
        <v>0</v>
      </c>
    </row>
    <row r="180" spans="1:23" s="337" customFormat="1" ht="37.5">
      <c r="A180" s="225" t="s">
        <v>49</v>
      </c>
      <c r="B180" s="229" t="s">
        <v>1270</v>
      </c>
      <c r="C180" s="111"/>
      <c r="D180" s="226"/>
      <c r="E180" s="226"/>
      <c r="F180" s="250"/>
      <c r="G180" s="250"/>
      <c r="H180" s="250">
        <v>200</v>
      </c>
      <c r="I180" s="111"/>
      <c r="J180" s="111"/>
      <c r="K180" s="125"/>
      <c r="L180" s="25">
        <f>L181+L182+L183+L184+L185+L186+L187+L188+L189+L190+L191+L192+L193+L194+L195+L196+L197</f>
        <v>8210.57</v>
      </c>
      <c r="M180" s="25">
        <f t="shared" ref="M180:W180" si="83">M181+M182+M183+M184+M185+M186+M187+M188+M189+M190+M191+M192+M193+M194+M195+M196+M197</f>
        <v>11948.77</v>
      </c>
      <c r="N180" s="25">
        <f t="shared" si="83"/>
        <v>6689.9049999999997</v>
      </c>
      <c r="O180" s="25">
        <f t="shared" si="83"/>
        <v>4434.3999999999987</v>
      </c>
      <c r="P180" s="25">
        <f t="shared" si="83"/>
        <v>4434.3999999999987</v>
      </c>
      <c r="Q180" s="25">
        <f t="shared" si="83"/>
        <v>0</v>
      </c>
      <c r="R180" s="25">
        <f t="shared" si="83"/>
        <v>4393.2999999999993</v>
      </c>
      <c r="S180" s="25">
        <f t="shared" si="83"/>
        <v>4393.2999999999993</v>
      </c>
      <c r="T180" s="25">
        <f t="shared" si="83"/>
        <v>0</v>
      </c>
      <c r="U180" s="25">
        <f t="shared" si="83"/>
        <v>4437.3</v>
      </c>
      <c r="V180" s="25">
        <f t="shared" si="83"/>
        <v>4437.3</v>
      </c>
      <c r="W180" s="25">
        <f t="shared" si="83"/>
        <v>0</v>
      </c>
    </row>
    <row r="181" spans="1:23" s="337" customFormat="1" ht="150">
      <c r="A181" s="225" t="s">
        <v>239</v>
      </c>
      <c r="B181" s="229" t="s">
        <v>236</v>
      </c>
      <c r="C181" s="121" t="s">
        <v>408</v>
      </c>
      <c r="D181" s="226" t="s">
        <v>403</v>
      </c>
      <c r="E181" s="226" t="s">
        <v>95</v>
      </c>
      <c r="F181" s="226" t="s">
        <v>80</v>
      </c>
      <c r="G181" s="226" t="s">
        <v>96</v>
      </c>
      <c r="H181" s="250">
        <v>200</v>
      </c>
      <c r="I181" s="437"/>
      <c r="J181" s="437"/>
      <c r="K181" s="125"/>
      <c r="L181" s="25">
        <v>514.32000000000005</v>
      </c>
      <c r="M181" s="25">
        <v>549.4</v>
      </c>
      <c r="N181" s="25">
        <v>434.51400000000001</v>
      </c>
      <c r="O181" s="25">
        <f t="shared" ref="O181:O197" si="84">P181+Q181</f>
        <v>564.29999999999995</v>
      </c>
      <c r="P181" s="25">
        <v>564.29999999999995</v>
      </c>
      <c r="Q181" s="25">
        <v>0</v>
      </c>
      <c r="R181" s="25">
        <f>S181+T181</f>
        <v>559</v>
      </c>
      <c r="S181" s="25">
        <v>559</v>
      </c>
      <c r="T181" s="25">
        <v>0</v>
      </c>
      <c r="U181" s="25">
        <f>V181+W181</f>
        <v>564.70000000000005</v>
      </c>
      <c r="V181" s="25">
        <v>564.70000000000005</v>
      </c>
      <c r="W181" s="25">
        <v>0</v>
      </c>
    </row>
    <row r="182" spans="1:23" s="337" customFormat="1" ht="150">
      <c r="A182" s="225" t="s">
        <v>242</v>
      </c>
      <c r="B182" s="229" t="s">
        <v>243</v>
      </c>
      <c r="C182" s="121" t="s">
        <v>408</v>
      </c>
      <c r="D182" s="226" t="s">
        <v>403</v>
      </c>
      <c r="E182" s="226" t="s">
        <v>95</v>
      </c>
      <c r="F182" s="226" t="s">
        <v>80</v>
      </c>
      <c r="G182" s="226" t="s">
        <v>184</v>
      </c>
      <c r="H182" s="250">
        <v>200</v>
      </c>
      <c r="I182" s="437"/>
      <c r="J182" s="437"/>
      <c r="K182" s="125"/>
      <c r="L182" s="25">
        <v>1558.74</v>
      </c>
      <c r="M182" s="25">
        <v>182.67</v>
      </c>
      <c r="N182" s="25">
        <v>144.19</v>
      </c>
      <c r="O182" s="25">
        <f t="shared" si="84"/>
        <v>128</v>
      </c>
      <c r="P182" s="25">
        <v>128</v>
      </c>
      <c r="Q182" s="25">
        <v>0</v>
      </c>
      <c r="R182" s="25">
        <f t="shared" ref="R182:R197" si="85">S182+T182</f>
        <v>126.8</v>
      </c>
      <c r="S182" s="25">
        <v>126.8</v>
      </c>
      <c r="T182" s="25">
        <v>0</v>
      </c>
      <c r="U182" s="25">
        <f t="shared" ref="U182:U197" si="86">V182+W182</f>
        <v>128</v>
      </c>
      <c r="V182" s="25">
        <v>128</v>
      </c>
      <c r="W182" s="25">
        <v>0</v>
      </c>
    </row>
    <row r="183" spans="1:23" s="337" customFormat="1" ht="131.25">
      <c r="A183" s="225" t="s">
        <v>244</v>
      </c>
      <c r="B183" s="229" t="s">
        <v>246</v>
      </c>
      <c r="C183" s="121" t="s">
        <v>106</v>
      </c>
      <c r="D183" s="226" t="s">
        <v>394</v>
      </c>
      <c r="E183" s="226" t="s">
        <v>93</v>
      </c>
      <c r="F183" s="226" t="s">
        <v>97</v>
      </c>
      <c r="G183" s="226" t="s">
        <v>185</v>
      </c>
      <c r="H183" s="250">
        <v>200</v>
      </c>
      <c r="I183" s="449" t="s">
        <v>374</v>
      </c>
      <c r="J183" s="449" t="s">
        <v>1272</v>
      </c>
      <c r="K183" s="125"/>
      <c r="L183" s="25">
        <v>82.59</v>
      </c>
      <c r="M183" s="25">
        <v>131.53</v>
      </c>
      <c r="N183" s="25">
        <v>73.001999999999995</v>
      </c>
      <c r="O183" s="25">
        <f t="shared" si="84"/>
        <v>307.3</v>
      </c>
      <c r="P183" s="25">
        <v>307.3</v>
      </c>
      <c r="Q183" s="25">
        <v>0</v>
      </c>
      <c r="R183" s="25">
        <f t="shared" si="85"/>
        <v>304.5</v>
      </c>
      <c r="S183" s="25">
        <v>304.5</v>
      </c>
      <c r="T183" s="25">
        <v>0</v>
      </c>
      <c r="U183" s="25">
        <f t="shared" si="86"/>
        <v>307.5</v>
      </c>
      <c r="V183" s="25">
        <v>307.5</v>
      </c>
      <c r="W183" s="25">
        <v>0</v>
      </c>
    </row>
    <row r="184" spans="1:23" s="337" customFormat="1" ht="131.25">
      <c r="A184" s="225" t="s">
        <v>245</v>
      </c>
      <c r="B184" s="229" t="s">
        <v>246</v>
      </c>
      <c r="C184" s="218" t="s">
        <v>106</v>
      </c>
      <c r="D184" s="226" t="s">
        <v>394</v>
      </c>
      <c r="E184" s="226" t="s">
        <v>93</v>
      </c>
      <c r="F184" s="226" t="s">
        <v>97</v>
      </c>
      <c r="G184" s="226" t="s">
        <v>108</v>
      </c>
      <c r="H184" s="250">
        <v>200</v>
      </c>
      <c r="I184" s="670"/>
      <c r="J184" s="670"/>
      <c r="K184" s="217"/>
      <c r="L184" s="25">
        <v>0</v>
      </c>
      <c r="M184" s="25">
        <v>0</v>
      </c>
      <c r="N184" s="25">
        <v>0</v>
      </c>
      <c r="O184" s="25">
        <f t="shared" si="84"/>
        <v>126.8</v>
      </c>
      <c r="P184" s="25">
        <v>126.8</v>
      </c>
      <c r="Q184" s="25">
        <v>0</v>
      </c>
      <c r="R184" s="25">
        <f t="shared" si="85"/>
        <v>125.6</v>
      </c>
      <c r="S184" s="25">
        <v>125.6</v>
      </c>
      <c r="T184" s="25">
        <v>0</v>
      </c>
      <c r="U184" s="25">
        <f t="shared" si="86"/>
        <v>126.9</v>
      </c>
      <c r="V184" s="25">
        <v>126.9</v>
      </c>
      <c r="W184" s="25">
        <v>0</v>
      </c>
    </row>
    <row r="185" spans="1:23" s="337" customFormat="1" ht="168.75">
      <c r="A185" s="225" t="s">
        <v>248</v>
      </c>
      <c r="B185" s="229" t="s">
        <v>246</v>
      </c>
      <c r="C185" s="121" t="s">
        <v>1016</v>
      </c>
      <c r="D185" s="226" t="s">
        <v>394</v>
      </c>
      <c r="E185" s="226" t="s">
        <v>93</v>
      </c>
      <c r="F185" s="226" t="s">
        <v>97</v>
      </c>
      <c r="G185" s="226" t="s">
        <v>123</v>
      </c>
      <c r="H185" s="250">
        <v>200</v>
      </c>
      <c r="I185" s="437"/>
      <c r="J185" s="437"/>
      <c r="K185" s="125"/>
      <c r="L185" s="25">
        <v>0</v>
      </c>
      <c r="M185" s="25">
        <v>6536.36</v>
      </c>
      <c r="N185" s="25">
        <v>2669.7</v>
      </c>
      <c r="O185" s="25">
        <f t="shared" si="84"/>
        <v>0</v>
      </c>
      <c r="P185" s="25">
        <v>0</v>
      </c>
      <c r="Q185" s="25">
        <v>0</v>
      </c>
      <c r="R185" s="25">
        <f t="shared" si="85"/>
        <v>0</v>
      </c>
      <c r="S185" s="25">
        <v>0</v>
      </c>
      <c r="T185" s="25">
        <v>0</v>
      </c>
      <c r="U185" s="25">
        <f t="shared" si="86"/>
        <v>0</v>
      </c>
      <c r="V185" s="25">
        <v>0</v>
      </c>
      <c r="W185" s="25">
        <v>0</v>
      </c>
    </row>
    <row r="186" spans="1:23" s="337" customFormat="1" ht="168.75">
      <c r="A186" s="225" t="s">
        <v>250</v>
      </c>
      <c r="B186" s="229" t="s">
        <v>246</v>
      </c>
      <c r="C186" s="121" t="s">
        <v>107</v>
      </c>
      <c r="D186" s="226" t="s">
        <v>394</v>
      </c>
      <c r="E186" s="226" t="s">
        <v>93</v>
      </c>
      <c r="F186" s="226" t="s">
        <v>97</v>
      </c>
      <c r="G186" s="226" t="s">
        <v>1177</v>
      </c>
      <c r="H186" s="250">
        <v>200</v>
      </c>
      <c r="I186" s="437"/>
      <c r="J186" s="437"/>
      <c r="K186" s="125"/>
      <c r="L186" s="25">
        <v>294.5</v>
      </c>
      <c r="M186" s="25">
        <v>279.8</v>
      </c>
      <c r="N186" s="25">
        <v>279.79899999999998</v>
      </c>
      <c r="O186" s="25">
        <f t="shared" si="84"/>
        <v>0</v>
      </c>
      <c r="P186" s="25">
        <v>0</v>
      </c>
      <c r="Q186" s="25">
        <v>0</v>
      </c>
      <c r="R186" s="25">
        <f t="shared" si="85"/>
        <v>0</v>
      </c>
      <c r="S186" s="25">
        <v>0</v>
      </c>
      <c r="T186" s="25">
        <v>0</v>
      </c>
      <c r="U186" s="25">
        <f t="shared" si="86"/>
        <v>0</v>
      </c>
      <c r="V186" s="25">
        <v>0</v>
      </c>
      <c r="W186" s="25">
        <v>0</v>
      </c>
    </row>
    <row r="187" spans="1:23" s="337" customFormat="1" ht="112.5">
      <c r="A187" s="225" t="s">
        <v>252</v>
      </c>
      <c r="B187" s="229" t="s">
        <v>258</v>
      </c>
      <c r="C187" s="121" t="s">
        <v>1247</v>
      </c>
      <c r="D187" s="226" t="s">
        <v>394</v>
      </c>
      <c r="E187" s="226" t="s">
        <v>93</v>
      </c>
      <c r="F187" s="226" t="s">
        <v>97</v>
      </c>
      <c r="G187" s="226" t="s">
        <v>162</v>
      </c>
      <c r="H187" s="250">
        <v>200</v>
      </c>
      <c r="I187" s="437"/>
      <c r="J187" s="437"/>
      <c r="K187" s="125"/>
      <c r="L187" s="25">
        <v>0</v>
      </c>
      <c r="M187" s="25">
        <v>0</v>
      </c>
      <c r="N187" s="25">
        <v>0</v>
      </c>
      <c r="O187" s="25">
        <f t="shared" si="84"/>
        <v>52.7</v>
      </c>
      <c r="P187" s="25">
        <v>52.7</v>
      </c>
      <c r="Q187" s="25">
        <v>0</v>
      </c>
      <c r="R187" s="25">
        <f t="shared" si="85"/>
        <v>52.2</v>
      </c>
      <c r="S187" s="25">
        <v>52.2</v>
      </c>
      <c r="T187" s="25">
        <v>0</v>
      </c>
      <c r="U187" s="25">
        <f t="shared" si="86"/>
        <v>52.7</v>
      </c>
      <c r="V187" s="25">
        <v>52.7</v>
      </c>
      <c r="W187" s="25">
        <v>0</v>
      </c>
    </row>
    <row r="188" spans="1:23" s="337" customFormat="1" ht="93.75">
      <c r="A188" s="225" t="s">
        <v>253</v>
      </c>
      <c r="B188" s="229" t="s">
        <v>299</v>
      </c>
      <c r="C188" s="121" t="s">
        <v>109</v>
      </c>
      <c r="D188" s="226" t="s">
        <v>395</v>
      </c>
      <c r="E188" s="226" t="s">
        <v>98</v>
      </c>
      <c r="F188" s="226" t="s">
        <v>95</v>
      </c>
      <c r="G188" s="226" t="s">
        <v>186</v>
      </c>
      <c r="H188" s="250">
        <v>200</v>
      </c>
      <c r="I188" s="111"/>
      <c r="J188" s="111"/>
      <c r="K188" s="125"/>
      <c r="L188" s="25">
        <v>2257.4</v>
      </c>
      <c r="M188" s="25">
        <v>2353.54</v>
      </c>
      <c r="N188" s="25">
        <v>1313.19</v>
      </c>
      <c r="O188" s="25">
        <f t="shared" si="84"/>
        <v>2408.6999999999998</v>
      </c>
      <c r="P188" s="25">
        <v>2408.6999999999998</v>
      </c>
      <c r="Q188" s="25">
        <v>0</v>
      </c>
      <c r="R188" s="25">
        <f t="shared" si="85"/>
        <v>2386.4</v>
      </c>
      <c r="S188" s="25">
        <v>2386.4</v>
      </c>
      <c r="T188" s="25">
        <v>0</v>
      </c>
      <c r="U188" s="25">
        <f t="shared" si="86"/>
        <v>2410.4</v>
      </c>
      <c r="V188" s="25">
        <v>2410.4</v>
      </c>
      <c r="W188" s="25">
        <v>0</v>
      </c>
    </row>
    <row r="189" spans="1:23" s="337" customFormat="1" ht="187.5">
      <c r="A189" s="225" t="s">
        <v>255</v>
      </c>
      <c r="B189" s="229" t="s">
        <v>300</v>
      </c>
      <c r="C189" s="121" t="s">
        <v>285</v>
      </c>
      <c r="D189" s="226" t="s">
        <v>395</v>
      </c>
      <c r="E189" s="226" t="s">
        <v>98</v>
      </c>
      <c r="F189" s="226" t="s">
        <v>95</v>
      </c>
      <c r="G189" s="226" t="s">
        <v>225</v>
      </c>
      <c r="H189" s="250">
        <v>200</v>
      </c>
      <c r="I189" s="111"/>
      <c r="J189" s="111"/>
      <c r="K189" s="125"/>
      <c r="L189" s="25">
        <v>114</v>
      </c>
      <c r="M189" s="25">
        <v>57</v>
      </c>
      <c r="N189" s="25">
        <v>50</v>
      </c>
      <c r="O189" s="25">
        <f t="shared" si="84"/>
        <v>53.7</v>
      </c>
      <c r="P189" s="25">
        <v>53.7</v>
      </c>
      <c r="Q189" s="25">
        <v>0</v>
      </c>
      <c r="R189" s="25">
        <f t="shared" si="85"/>
        <v>53.2</v>
      </c>
      <c r="S189" s="25">
        <v>53.2</v>
      </c>
      <c r="T189" s="25">
        <v>0</v>
      </c>
      <c r="U189" s="25">
        <f t="shared" si="86"/>
        <v>53.7</v>
      </c>
      <c r="V189" s="25">
        <v>53.7</v>
      </c>
      <c r="W189" s="25">
        <v>0</v>
      </c>
    </row>
    <row r="190" spans="1:23" s="337" customFormat="1" ht="187.5">
      <c r="A190" s="225" t="s">
        <v>259</v>
      </c>
      <c r="B190" s="229" t="s">
        <v>300</v>
      </c>
      <c r="C190" s="121" t="s">
        <v>285</v>
      </c>
      <c r="D190" s="226" t="s">
        <v>395</v>
      </c>
      <c r="E190" s="226" t="s">
        <v>98</v>
      </c>
      <c r="F190" s="226" t="s">
        <v>95</v>
      </c>
      <c r="G190" s="226" t="s">
        <v>126</v>
      </c>
      <c r="H190" s="250">
        <v>200</v>
      </c>
      <c r="I190" s="111"/>
      <c r="J190" s="111"/>
      <c r="K190" s="125"/>
      <c r="L190" s="25">
        <v>25.7</v>
      </c>
      <c r="M190" s="25">
        <v>24.4</v>
      </c>
      <c r="N190" s="25">
        <v>24.4</v>
      </c>
      <c r="O190" s="25">
        <f t="shared" si="84"/>
        <v>63.2</v>
      </c>
      <c r="P190" s="25">
        <v>63.2</v>
      </c>
      <c r="Q190" s="25">
        <v>0</v>
      </c>
      <c r="R190" s="25">
        <f t="shared" si="85"/>
        <v>62.6</v>
      </c>
      <c r="S190" s="25">
        <v>62.6</v>
      </c>
      <c r="T190" s="25">
        <v>0</v>
      </c>
      <c r="U190" s="25">
        <f t="shared" si="86"/>
        <v>63.2</v>
      </c>
      <c r="V190" s="25">
        <v>63.2</v>
      </c>
      <c r="W190" s="25">
        <v>0</v>
      </c>
    </row>
    <row r="191" spans="1:23" s="337" customFormat="1" ht="75">
      <c r="A191" s="225" t="s">
        <v>260</v>
      </c>
      <c r="B191" s="229" t="s">
        <v>251</v>
      </c>
      <c r="C191" s="121" t="s">
        <v>110</v>
      </c>
      <c r="D191" s="226" t="s">
        <v>395</v>
      </c>
      <c r="E191" s="226" t="s">
        <v>98</v>
      </c>
      <c r="F191" s="226" t="s">
        <v>95</v>
      </c>
      <c r="G191" s="226" t="s">
        <v>226</v>
      </c>
      <c r="H191" s="250">
        <v>200</v>
      </c>
      <c r="I191" s="111"/>
      <c r="J191" s="111"/>
      <c r="K191" s="125"/>
      <c r="L191" s="25">
        <v>4.2</v>
      </c>
      <c r="M191" s="25">
        <v>201.95</v>
      </c>
      <c r="N191" s="25">
        <v>201.95</v>
      </c>
      <c r="O191" s="25">
        <f t="shared" si="84"/>
        <v>114.2</v>
      </c>
      <c r="P191" s="25">
        <v>114.2</v>
      </c>
      <c r="Q191" s="25">
        <v>0</v>
      </c>
      <c r="R191" s="25">
        <f t="shared" si="85"/>
        <v>113.1</v>
      </c>
      <c r="S191" s="25">
        <v>113.1</v>
      </c>
      <c r="T191" s="25">
        <v>0</v>
      </c>
      <c r="U191" s="25">
        <f t="shared" si="86"/>
        <v>114.3</v>
      </c>
      <c r="V191" s="25">
        <v>114.3</v>
      </c>
      <c r="W191" s="25">
        <v>0</v>
      </c>
    </row>
    <row r="192" spans="1:23" s="337" customFormat="1" ht="75">
      <c r="A192" s="225" t="s">
        <v>261</v>
      </c>
      <c r="B192" s="229" t="s">
        <v>254</v>
      </c>
      <c r="C192" s="121" t="s">
        <v>112</v>
      </c>
      <c r="D192" s="226" t="s">
        <v>395</v>
      </c>
      <c r="E192" s="226" t="s">
        <v>98</v>
      </c>
      <c r="F192" s="226" t="s">
        <v>95</v>
      </c>
      <c r="G192" s="226" t="s">
        <v>178</v>
      </c>
      <c r="H192" s="250">
        <v>200</v>
      </c>
      <c r="I192" s="111"/>
      <c r="J192" s="111"/>
      <c r="K192" s="125"/>
      <c r="L192" s="25">
        <v>50.74</v>
      </c>
      <c r="M192" s="25">
        <v>405.73</v>
      </c>
      <c r="N192" s="25">
        <v>368.83</v>
      </c>
      <c r="O192" s="25">
        <f t="shared" si="84"/>
        <v>139.1</v>
      </c>
      <c r="P192" s="25">
        <v>139.1</v>
      </c>
      <c r="Q192" s="25">
        <v>0</v>
      </c>
      <c r="R192" s="25">
        <f t="shared" si="85"/>
        <v>137.9</v>
      </c>
      <c r="S192" s="25">
        <v>137.9</v>
      </c>
      <c r="T192" s="25">
        <v>0</v>
      </c>
      <c r="U192" s="25">
        <f t="shared" si="86"/>
        <v>139.19999999999999</v>
      </c>
      <c r="V192" s="25">
        <v>139.19999999999999</v>
      </c>
      <c r="W192" s="25">
        <v>0</v>
      </c>
    </row>
    <row r="193" spans="1:23" s="337" customFormat="1" ht="112.5">
      <c r="A193" s="225" t="s">
        <v>262</v>
      </c>
      <c r="B193" s="229" t="s">
        <v>254</v>
      </c>
      <c r="C193" s="121" t="s">
        <v>420</v>
      </c>
      <c r="D193" s="226" t="s">
        <v>395</v>
      </c>
      <c r="E193" s="226" t="s">
        <v>98</v>
      </c>
      <c r="F193" s="226" t="s">
        <v>95</v>
      </c>
      <c r="G193" s="226" t="s">
        <v>1010</v>
      </c>
      <c r="H193" s="250">
        <v>200</v>
      </c>
      <c r="I193" s="111"/>
      <c r="J193" s="111"/>
      <c r="K193" s="125"/>
      <c r="L193" s="25">
        <v>199.16</v>
      </c>
      <c r="M193" s="25">
        <v>749.37</v>
      </c>
      <c r="N193" s="25">
        <v>749.37</v>
      </c>
      <c r="O193" s="25">
        <f t="shared" si="84"/>
        <v>0</v>
      </c>
      <c r="P193" s="25">
        <v>0</v>
      </c>
      <c r="Q193" s="25">
        <v>0</v>
      </c>
      <c r="R193" s="25">
        <f t="shared" si="85"/>
        <v>0</v>
      </c>
      <c r="S193" s="25">
        <v>0</v>
      </c>
      <c r="T193" s="25">
        <v>0</v>
      </c>
      <c r="U193" s="25">
        <f t="shared" si="86"/>
        <v>0</v>
      </c>
      <c r="V193" s="25">
        <v>0</v>
      </c>
      <c r="W193" s="25">
        <v>0</v>
      </c>
    </row>
    <row r="194" spans="1:23" s="337" customFormat="1" ht="243.75">
      <c r="A194" s="225" t="s">
        <v>428</v>
      </c>
      <c r="B194" s="229" t="s">
        <v>1238</v>
      </c>
      <c r="C194" s="121" t="s">
        <v>1239</v>
      </c>
      <c r="D194" s="226" t="s">
        <v>395</v>
      </c>
      <c r="E194" s="226" t="s">
        <v>98</v>
      </c>
      <c r="F194" s="226" t="s">
        <v>95</v>
      </c>
      <c r="G194" s="226" t="s">
        <v>194</v>
      </c>
      <c r="H194" s="250">
        <v>200</v>
      </c>
      <c r="I194" s="111"/>
      <c r="J194" s="111"/>
      <c r="K194" s="125"/>
      <c r="L194" s="25">
        <v>2411.25</v>
      </c>
      <c r="M194" s="25">
        <v>0</v>
      </c>
      <c r="N194" s="25">
        <v>0</v>
      </c>
      <c r="O194" s="25">
        <f t="shared" si="84"/>
        <v>0</v>
      </c>
      <c r="P194" s="25">
        <v>0</v>
      </c>
      <c r="Q194" s="25">
        <v>0</v>
      </c>
      <c r="R194" s="25">
        <f t="shared" si="85"/>
        <v>0</v>
      </c>
      <c r="S194" s="25">
        <v>0</v>
      </c>
      <c r="T194" s="25">
        <v>0</v>
      </c>
      <c r="U194" s="25">
        <f t="shared" si="86"/>
        <v>0</v>
      </c>
      <c r="V194" s="25">
        <v>0</v>
      </c>
      <c r="W194" s="25">
        <v>0</v>
      </c>
    </row>
    <row r="195" spans="1:23" s="337" customFormat="1" ht="300">
      <c r="A195" s="225" t="s">
        <v>429</v>
      </c>
      <c r="B195" s="229" t="s">
        <v>302</v>
      </c>
      <c r="C195" s="121" t="s">
        <v>303</v>
      </c>
      <c r="D195" s="226" t="s">
        <v>395</v>
      </c>
      <c r="E195" s="226" t="s">
        <v>98</v>
      </c>
      <c r="F195" s="226" t="s">
        <v>95</v>
      </c>
      <c r="G195" s="226" t="s">
        <v>256</v>
      </c>
      <c r="H195" s="250">
        <v>200</v>
      </c>
      <c r="I195" s="111"/>
      <c r="J195" s="111"/>
      <c r="K195" s="125"/>
      <c r="L195" s="25">
        <v>209.27</v>
      </c>
      <c r="M195" s="25">
        <v>0</v>
      </c>
      <c r="N195" s="25">
        <v>0</v>
      </c>
      <c r="O195" s="25">
        <f t="shared" si="84"/>
        <v>0</v>
      </c>
      <c r="P195" s="25">
        <v>0</v>
      </c>
      <c r="Q195" s="25">
        <v>0</v>
      </c>
      <c r="R195" s="25">
        <f t="shared" si="85"/>
        <v>0</v>
      </c>
      <c r="S195" s="25">
        <v>0</v>
      </c>
      <c r="T195" s="25">
        <v>0</v>
      </c>
      <c r="U195" s="25">
        <f t="shared" si="86"/>
        <v>0</v>
      </c>
      <c r="V195" s="25">
        <v>0</v>
      </c>
      <c r="W195" s="25">
        <v>0</v>
      </c>
    </row>
    <row r="196" spans="1:23" s="337" customFormat="1" ht="112.5">
      <c r="A196" s="225" t="s">
        <v>430</v>
      </c>
      <c r="B196" s="229" t="s">
        <v>304</v>
      </c>
      <c r="C196" s="121" t="s">
        <v>113</v>
      </c>
      <c r="D196" s="226" t="s">
        <v>393</v>
      </c>
      <c r="E196" s="226" t="s">
        <v>98</v>
      </c>
      <c r="F196" s="226" t="s">
        <v>98</v>
      </c>
      <c r="G196" s="226" t="s">
        <v>100</v>
      </c>
      <c r="H196" s="250">
        <v>200</v>
      </c>
      <c r="I196" s="111"/>
      <c r="J196" s="111"/>
      <c r="K196" s="125"/>
      <c r="L196" s="25">
        <v>402.46</v>
      </c>
      <c r="M196" s="25">
        <v>477.02</v>
      </c>
      <c r="N196" s="25">
        <v>380.96</v>
      </c>
      <c r="O196" s="25">
        <f t="shared" si="84"/>
        <v>476.4</v>
      </c>
      <c r="P196" s="25">
        <v>476.4</v>
      </c>
      <c r="Q196" s="25">
        <v>0</v>
      </c>
      <c r="R196" s="25">
        <f t="shared" si="85"/>
        <v>472</v>
      </c>
      <c r="S196" s="25">
        <v>472</v>
      </c>
      <c r="T196" s="25">
        <v>0</v>
      </c>
      <c r="U196" s="25">
        <f t="shared" si="86"/>
        <v>476.7</v>
      </c>
      <c r="V196" s="25">
        <v>476.7</v>
      </c>
      <c r="W196" s="25">
        <v>0</v>
      </c>
    </row>
    <row r="197" spans="1:23" s="337" customFormat="1" ht="131.25">
      <c r="A197" s="225" t="s">
        <v>431</v>
      </c>
      <c r="B197" s="229" t="s">
        <v>304</v>
      </c>
      <c r="C197" s="121" t="s">
        <v>113</v>
      </c>
      <c r="D197" s="226" t="s">
        <v>393</v>
      </c>
      <c r="E197" s="226" t="s">
        <v>98</v>
      </c>
      <c r="F197" s="226" t="s">
        <v>98</v>
      </c>
      <c r="G197" s="226" t="s">
        <v>124</v>
      </c>
      <c r="H197" s="250">
        <v>200</v>
      </c>
      <c r="I197" s="122" t="s">
        <v>1273</v>
      </c>
      <c r="J197" s="125" t="s">
        <v>1274</v>
      </c>
      <c r="K197" s="125"/>
      <c r="L197" s="25">
        <v>86.24</v>
      </c>
      <c r="M197" s="25">
        <v>0</v>
      </c>
      <c r="N197" s="25">
        <v>0</v>
      </c>
      <c r="O197" s="25">
        <f t="shared" si="84"/>
        <v>0</v>
      </c>
      <c r="P197" s="25">
        <v>0</v>
      </c>
      <c r="Q197" s="25">
        <v>0</v>
      </c>
      <c r="R197" s="25">
        <f t="shared" si="85"/>
        <v>0</v>
      </c>
      <c r="S197" s="25">
        <v>0</v>
      </c>
      <c r="T197" s="25">
        <v>0</v>
      </c>
      <c r="U197" s="25">
        <f t="shared" si="86"/>
        <v>0</v>
      </c>
      <c r="V197" s="25">
        <v>0</v>
      </c>
      <c r="W197" s="25">
        <v>0</v>
      </c>
    </row>
    <row r="198" spans="1:23" s="337" customFormat="1">
      <c r="A198" s="161" t="s">
        <v>50</v>
      </c>
      <c r="B198" s="205" t="s">
        <v>31</v>
      </c>
      <c r="C198" s="136"/>
      <c r="D198" s="55"/>
      <c r="E198" s="257"/>
      <c r="F198" s="257"/>
      <c r="G198" s="257"/>
      <c r="H198" s="257">
        <v>800</v>
      </c>
      <c r="I198" s="111"/>
      <c r="J198" s="111"/>
      <c r="K198" s="125"/>
      <c r="L198" s="22">
        <f>L199</f>
        <v>19.139999999999997</v>
      </c>
      <c r="M198" s="22">
        <f t="shared" ref="M198:W198" si="87">M199</f>
        <v>20.100000000000001</v>
      </c>
      <c r="N198" s="22">
        <f t="shared" si="87"/>
        <v>17.27</v>
      </c>
      <c r="O198" s="22">
        <f t="shared" si="87"/>
        <v>18.8</v>
      </c>
      <c r="P198" s="22">
        <f t="shared" si="87"/>
        <v>18.8</v>
      </c>
      <c r="Q198" s="22">
        <f t="shared" si="87"/>
        <v>0</v>
      </c>
      <c r="R198" s="22">
        <f t="shared" si="87"/>
        <v>18.600000000000001</v>
      </c>
      <c r="S198" s="22">
        <f t="shared" si="87"/>
        <v>18.600000000000001</v>
      </c>
      <c r="T198" s="22">
        <f t="shared" si="87"/>
        <v>0</v>
      </c>
      <c r="U198" s="22">
        <f t="shared" si="87"/>
        <v>18.8</v>
      </c>
      <c r="V198" s="22">
        <f t="shared" si="87"/>
        <v>18.8</v>
      </c>
      <c r="W198" s="22">
        <f t="shared" si="87"/>
        <v>0</v>
      </c>
    </row>
    <row r="199" spans="1:23" s="337" customFormat="1" ht="37.5">
      <c r="A199" s="225" t="s">
        <v>51</v>
      </c>
      <c r="B199" s="229" t="s">
        <v>1270</v>
      </c>
      <c r="C199" s="111"/>
      <c r="D199" s="217"/>
      <c r="E199" s="250"/>
      <c r="F199" s="250"/>
      <c r="G199" s="250"/>
      <c r="H199" s="250">
        <v>800</v>
      </c>
      <c r="I199" s="111"/>
      <c r="J199" s="111"/>
      <c r="K199" s="125"/>
      <c r="L199" s="25">
        <f>L200+L201</f>
        <v>19.139999999999997</v>
      </c>
      <c r="M199" s="25">
        <f t="shared" ref="M199:W199" si="88">M200+M201</f>
        <v>20.100000000000001</v>
      </c>
      <c r="N199" s="25">
        <f t="shared" si="88"/>
        <v>17.27</v>
      </c>
      <c r="O199" s="25">
        <f t="shared" si="88"/>
        <v>18.8</v>
      </c>
      <c r="P199" s="25">
        <f t="shared" si="88"/>
        <v>18.8</v>
      </c>
      <c r="Q199" s="25">
        <f t="shared" si="88"/>
        <v>0</v>
      </c>
      <c r="R199" s="25">
        <f t="shared" si="88"/>
        <v>18.600000000000001</v>
      </c>
      <c r="S199" s="25">
        <f t="shared" si="88"/>
        <v>18.600000000000001</v>
      </c>
      <c r="T199" s="25">
        <f t="shared" si="88"/>
        <v>0</v>
      </c>
      <c r="U199" s="25">
        <f t="shared" si="88"/>
        <v>18.8</v>
      </c>
      <c r="V199" s="25">
        <f t="shared" si="88"/>
        <v>18.8</v>
      </c>
      <c r="W199" s="25">
        <f t="shared" si="88"/>
        <v>0</v>
      </c>
    </row>
    <row r="200" spans="1:23" s="337" customFormat="1" ht="281.25">
      <c r="A200" s="225" t="s">
        <v>280</v>
      </c>
      <c r="B200" s="229" t="s">
        <v>257</v>
      </c>
      <c r="C200" s="121" t="s">
        <v>104</v>
      </c>
      <c r="D200" s="226" t="s">
        <v>403</v>
      </c>
      <c r="E200" s="226" t="s">
        <v>95</v>
      </c>
      <c r="F200" s="226" t="s">
        <v>80</v>
      </c>
      <c r="G200" s="226" t="s">
        <v>96</v>
      </c>
      <c r="H200" s="250">
        <v>800</v>
      </c>
      <c r="I200" s="125" t="s">
        <v>207</v>
      </c>
      <c r="J200" s="125" t="s">
        <v>105</v>
      </c>
      <c r="K200" s="125"/>
      <c r="L200" s="25">
        <v>17.739999999999998</v>
      </c>
      <c r="M200" s="25">
        <v>18.600000000000001</v>
      </c>
      <c r="N200" s="25">
        <v>15.87</v>
      </c>
      <c r="O200" s="25">
        <f>P200+Q200</f>
        <v>17.5</v>
      </c>
      <c r="P200" s="25">
        <v>17.5</v>
      </c>
      <c r="Q200" s="25">
        <v>0</v>
      </c>
      <c r="R200" s="25">
        <f>S200+T200</f>
        <v>17.3</v>
      </c>
      <c r="S200" s="25">
        <v>17.3</v>
      </c>
      <c r="T200" s="25">
        <v>0</v>
      </c>
      <c r="U200" s="25">
        <f>V200+W200</f>
        <v>17.5</v>
      </c>
      <c r="V200" s="25">
        <v>17.5</v>
      </c>
      <c r="W200" s="25">
        <v>0</v>
      </c>
    </row>
    <row r="201" spans="1:23" s="337" customFormat="1" ht="409.5">
      <c r="A201" s="225" t="s">
        <v>281</v>
      </c>
      <c r="B201" s="229" t="s">
        <v>305</v>
      </c>
      <c r="C201" s="121" t="s">
        <v>113</v>
      </c>
      <c r="D201" s="226" t="s">
        <v>393</v>
      </c>
      <c r="E201" s="226" t="s">
        <v>98</v>
      </c>
      <c r="F201" s="226" t="s">
        <v>98</v>
      </c>
      <c r="G201" s="226" t="s">
        <v>100</v>
      </c>
      <c r="H201" s="250">
        <v>800</v>
      </c>
      <c r="I201" s="61" t="s">
        <v>203</v>
      </c>
      <c r="J201" s="121" t="s">
        <v>206</v>
      </c>
      <c r="K201" s="125"/>
      <c r="L201" s="25">
        <v>1.4</v>
      </c>
      <c r="M201" s="25">
        <v>1.5</v>
      </c>
      <c r="N201" s="25">
        <v>1.4</v>
      </c>
      <c r="O201" s="25">
        <f>P201+Q201</f>
        <v>1.3</v>
      </c>
      <c r="P201" s="25">
        <v>1.3</v>
      </c>
      <c r="Q201" s="25">
        <v>0</v>
      </c>
      <c r="R201" s="25">
        <f>S201+T201</f>
        <v>1.3</v>
      </c>
      <c r="S201" s="25">
        <v>1.3</v>
      </c>
      <c r="T201" s="25">
        <v>0</v>
      </c>
      <c r="U201" s="25">
        <f>V201+W201</f>
        <v>1.3</v>
      </c>
      <c r="V201" s="25">
        <v>1.3</v>
      </c>
      <c r="W201" s="25">
        <v>0</v>
      </c>
    </row>
    <row r="202" spans="1:23" s="336" customFormat="1" ht="56.25">
      <c r="A202" s="629" t="s">
        <v>127</v>
      </c>
      <c r="B202" s="302" t="s">
        <v>344</v>
      </c>
      <c r="C202" s="8"/>
      <c r="D202" s="644"/>
      <c r="E202" s="644"/>
      <c r="F202" s="644"/>
      <c r="G202" s="644"/>
      <c r="H202" s="644"/>
      <c r="I202" s="8"/>
      <c r="J202" s="8"/>
      <c r="K202" s="8" t="s">
        <v>62</v>
      </c>
      <c r="L202" s="19">
        <f>L203</f>
        <v>25170.800000000003</v>
      </c>
      <c r="M202" s="19">
        <f t="shared" ref="M202:W202" si="89">M203</f>
        <v>38012.699999999997</v>
      </c>
      <c r="N202" s="19">
        <f t="shared" si="89"/>
        <v>21619.7</v>
      </c>
      <c r="O202" s="19">
        <f t="shared" si="89"/>
        <v>24369.9</v>
      </c>
      <c r="P202" s="19">
        <f t="shared" si="89"/>
        <v>24369.9</v>
      </c>
      <c r="Q202" s="19">
        <f t="shared" si="89"/>
        <v>0</v>
      </c>
      <c r="R202" s="19">
        <f t="shared" si="89"/>
        <v>24143.999999999996</v>
      </c>
      <c r="S202" s="19">
        <f t="shared" si="89"/>
        <v>24143.999999999996</v>
      </c>
      <c r="T202" s="19">
        <f t="shared" si="89"/>
        <v>0</v>
      </c>
      <c r="U202" s="19">
        <f t="shared" si="89"/>
        <v>24387.100000000002</v>
      </c>
      <c r="V202" s="19">
        <f t="shared" si="89"/>
        <v>24387.100000000002</v>
      </c>
      <c r="W202" s="19">
        <f t="shared" si="89"/>
        <v>0</v>
      </c>
    </row>
    <row r="203" spans="1:23" s="336" customFormat="1" ht="38.450000000000003" customHeight="1">
      <c r="A203" s="630" t="s">
        <v>9</v>
      </c>
      <c r="B203" s="421" t="s">
        <v>67</v>
      </c>
      <c r="C203" s="421"/>
      <c r="D203" s="421"/>
      <c r="E203" s="421"/>
      <c r="F203" s="421"/>
      <c r="G203" s="421"/>
      <c r="H203" s="421"/>
      <c r="I203" s="421"/>
      <c r="J203" s="421"/>
      <c r="K203" s="421"/>
      <c r="L203" s="20">
        <f t="shared" ref="L203:W203" si="90">L204+L208+L211+L223+L226</f>
        <v>25170.800000000003</v>
      </c>
      <c r="M203" s="20">
        <f t="shared" si="90"/>
        <v>38012.699999999997</v>
      </c>
      <c r="N203" s="20">
        <f t="shared" si="90"/>
        <v>21619.7</v>
      </c>
      <c r="O203" s="20">
        <f t="shared" si="90"/>
        <v>24369.9</v>
      </c>
      <c r="P203" s="20">
        <f t="shared" si="90"/>
        <v>24369.9</v>
      </c>
      <c r="Q203" s="20">
        <f t="shared" si="90"/>
        <v>0</v>
      </c>
      <c r="R203" s="20">
        <f t="shared" si="90"/>
        <v>24143.999999999996</v>
      </c>
      <c r="S203" s="20">
        <f t="shared" si="90"/>
        <v>24143.999999999996</v>
      </c>
      <c r="T203" s="20">
        <f t="shared" si="90"/>
        <v>0</v>
      </c>
      <c r="U203" s="20">
        <f t="shared" si="90"/>
        <v>24387.100000000002</v>
      </c>
      <c r="V203" s="20">
        <f t="shared" si="90"/>
        <v>24387.100000000002</v>
      </c>
      <c r="W203" s="20">
        <f t="shared" si="90"/>
        <v>0</v>
      </c>
    </row>
    <row r="204" spans="1:23" s="337" customFormat="1" ht="19.899999999999999" customHeight="1">
      <c r="A204" s="235" t="s">
        <v>57</v>
      </c>
      <c r="B204" s="229"/>
      <c r="C204" s="115"/>
      <c r="D204" s="383"/>
      <c r="E204" s="250" t="s">
        <v>92</v>
      </c>
      <c r="F204" s="250" t="s">
        <v>93</v>
      </c>
      <c r="G204" s="250">
        <v>7770100190</v>
      </c>
      <c r="H204" s="250"/>
      <c r="I204" s="15"/>
      <c r="J204" s="115"/>
      <c r="K204" s="14"/>
      <c r="L204" s="22">
        <f t="shared" ref="L204:W204" si="91">SUM(L205:L206)</f>
        <v>4836.6000000000004</v>
      </c>
      <c r="M204" s="22">
        <f t="shared" si="91"/>
        <v>4921.3999999999996</v>
      </c>
      <c r="N204" s="22">
        <f t="shared" si="91"/>
        <v>3905.5</v>
      </c>
      <c r="O204" s="22">
        <f t="shared" si="91"/>
        <v>5723.5</v>
      </c>
      <c r="P204" s="22">
        <f t="shared" si="91"/>
        <v>5723.5</v>
      </c>
      <c r="Q204" s="22">
        <f t="shared" si="91"/>
        <v>0</v>
      </c>
      <c r="R204" s="22">
        <f t="shared" si="91"/>
        <v>5670.3</v>
      </c>
      <c r="S204" s="22">
        <f t="shared" si="91"/>
        <v>5670.3</v>
      </c>
      <c r="T204" s="22">
        <f t="shared" si="91"/>
        <v>0</v>
      </c>
      <c r="U204" s="22">
        <f t="shared" si="91"/>
        <v>5727.5</v>
      </c>
      <c r="V204" s="22">
        <f t="shared" si="91"/>
        <v>5727.5</v>
      </c>
      <c r="W204" s="22">
        <f t="shared" si="91"/>
        <v>0</v>
      </c>
    </row>
    <row r="205" spans="1:23" s="337" customFormat="1" ht="22.15" customHeight="1">
      <c r="A205" s="225" t="s">
        <v>10</v>
      </c>
      <c r="B205" s="229" t="s">
        <v>68</v>
      </c>
      <c r="C205" s="121"/>
      <c r="D205" s="218" t="s">
        <v>383</v>
      </c>
      <c r="E205" s="250" t="s">
        <v>92</v>
      </c>
      <c r="F205" s="250" t="s">
        <v>93</v>
      </c>
      <c r="G205" s="250">
        <v>7770100190</v>
      </c>
      <c r="H205" s="250">
        <v>100</v>
      </c>
      <c r="I205" s="111"/>
      <c r="J205" s="121"/>
      <c r="K205" s="121"/>
      <c r="L205" s="25">
        <v>4384.1000000000004</v>
      </c>
      <c r="M205" s="25">
        <v>4539.8999999999996</v>
      </c>
      <c r="N205" s="25">
        <v>3119.6</v>
      </c>
      <c r="O205" s="25">
        <f>SUM(P205:Q205)</f>
        <v>4879.2</v>
      </c>
      <c r="P205" s="25">
        <v>4879.2</v>
      </c>
      <c r="Q205" s="25">
        <v>0</v>
      </c>
      <c r="R205" s="25">
        <f>SUM(S205:T205)</f>
        <v>4834</v>
      </c>
      <c r="S205" s="37">
        <v>4834</v>
      </c>
      <c r="T205" s="37">
        <v>0</v>
      </c>
      <c r="U205" s="25">
        <f>SUM(V205:W205)</f>
        <v>4882.7</v>
      </c>
      <c r="V205" s="25">
        <v>4882.7</v>
      </c>
      <c r="W205" s="25">
        <v>0</v>
      </c>
    </row>
    <row r="206" spans="1:23" s="337" customFormat="1" ht="22.35" customHeight="1">
      <c r="A206" s="225" t="s">
        <v>306</v>
      </c>
      <c r="B206" s="229" t="s">
        <v>69</v>
      </c>
      <c r="C206" s="15"/>
      <c r="D206" s="217" t="s">
        <v>349</v>
      </c>
      <c r="E206" s="250" t="s">
        <v>92</v>
      </c>
      <c r="F206" s="250" t="s">
        <v>93</v>
      </c>
      <c r="G206" s="250">
        <v>7770100190</v>
      </c>
      <c r="H206" s="250">
        <v>200</v>
      </c>
      <c r="I206" s="15"/>
      <c r="J206" s="15"/>
      <c r="K206" s="27"/>
      <c r="L206" s="25">
        <v>452.5</v>
      </c>
      <c r="M206" s="25">
        <v>381.5</v>
      </c>
      <c r="N206" s="25">
        <v>785.9</v>
      </c>
      <c r="O206" s="25">
        <f>SUM(P206:Q206)</f>
        <v>844.3</v>
      </c>
      <c r="P206" s="25">
        <v>844.3</v>
      </c>
      <c r="Q206" s="25">
        <v>0</v>
      </c>
      <c r="R206" s="25">
        <f>SUM(S206:T206)</f>
        <v>836.3</v>
      </c>
      <c r="S206" s="25">
        <v>836.3</v>
      </c>
      <c r="T206" s="25">
        <v>0</v>
      </c>
      <c r="U206" s="25">
        <f>SUM(V206:W206)</f>
        <v>844.8</v>
      </c>
      <c r="V206" s="25">
        <v>844.8</v>
      </c>
      <c r="W206" s="25">
        <v>0</v>
      </c>
    </row>
    <row r="207" spans="1:23" s="337" customFormat="1" ht="36.6" customHeight="1">
      <c r="A207" s="411" t="s">
        <v>88</v>
      </c>
      <c r="B207" s="411"/>
      <c r="C207" s="411"/>
      <c r="D207" s="411"/>
      <c r="E207" s="411"/>
      <c r="F207" s="411"/>
      <c r="G207" s="411"/>
      <c r="H207" s="411"/>
      <c r="I207" s="411"/>
      <c r="J207" s="411"/>
      <c r="K207" s="411"/>
      <c r="L207" s="22">
        <f t="shared" ref="L207:W207" si="92">L208+L211</f>
        <v>20294.5</v>
      </c>
      <c r="M207" s="22">
        <f t="shared" si="92"/>
        <v>33049.799999999996</v>
      </c>
      <c r="N207" s="22">
        <f t="shared" si="92"/>
        <v>17681.599999999999</v>
      </c>
      <c r="O207" s="22">
        <f t="shared" si="92"/>
        <v>18596.2</v>
      </c>
      <c r="P207" s="22">
        <f t="shared" si="92"/>
        <v>18596.2</v>
      </c>
      <c r="Q207" s="22">
        <f t="shared" si="92"/>
        <v>0</v>
      </c>
      <c r="R207" s="22">
        <f t="shared" si="92"/>
        <v>18424</v>
      </c>
      <c r="S207" s="22">
        <f t="shared" si="92"/>
        <v>18424</v>
      </c>
      <c r="T207" s="22">
        <f t="shared" si="92"/>
        <v>0</v>
      </c>
      <c r="U207" s="22">
        <f t="shared" si="92"/>
        <v>18609.400000000001</v>
      </c>
      <c r="V207" s="22">
        <f t="shared" si="92"/>
        <v>18609.400000000001</v>
      </c>
      <c r="W207" s="22">
        <f t="shared" si="92"/>
        <v>0</v>
      </c>
    </row>
    <row r="208" spans="1:23" s="337" customFormat="1" ht="31.9" customHeight="1">
      <c r="A208" s="161" t="s">
        <v>12</v>
      </c>
      <c r="B208" s="205" t="s">
        <v>58</v>
      </c>
      <c r="C208" s="135"/>
      <c r="D208" s="135"/>
      <c r="E208" s="257"/>
      <c r="F208" s="257"/>
      <c r="G208" s="257"/>
      <c r="H208" s="257">
        <v>100</v>
      </c>
      <c r="I208" s="136"/>
      <c r="J208" s="135"/>
      <c r="K208" s="135"/>
      <c r="L208" s="22">
        <f>L209+L210</f>
        <v>7109.4</v>
      </c>
      <c r="M208" s="22">
        <f t="shared" ref="M208:W208" si="93">M209+M210</f>
        <v>7569.2</v>
      </c>
      <c r="N208" s="22">
        <f t="shared" si="93"/>
        <v>4694.8</v>
      </c>
      <c r="O208" s="22">
        <f t="shared" si="93"/>
        <v>9939.6</v>
      </c>
      <c r="P208" s="22">
        <f t="shared" si="93"/>
        <v>9939.6</v>
      </c>
      <c r="Q208" s="22">
        <f t="shared" si="93"/>
        <v>0</v>
      </c>
      <c r="R208" s="22">
        <f t="shared" si="93"/>
        <v>9847.5</v>
      </c>
      <c r="S208" s="22">
        <f t="shared" si="93"/>
        <v>9847.5</v>
      </c>
      <c r="T208" s="22">
        <f t="shared" si="93"/>
        <v>0</v>
      </c>
      <c r="U208" s="22">
        <f t="shared" si="93"/>
        <v>9946.7000000000007</v>
      </c>
      <c r="V208" s="22">
        <f t="shared" si="93"/>
        <v>9946.7000000000007</v>
      </c>
      <c r="W208" s="22">
        <f t="shared" si="93"/>
        <v>0</v>
      </c>
    </row>
    <row r="209" spans="1:24" s="337" customFormat="1" ht="21.75" customHeight="1">
      <c r="A209" s="225" t="s">
        <v>48</v>
      </c>
      <c r="B209" s="229" t="s">
        <v>1019</v>
      </c>
      <c r="C209" s="121" t="s">
        <v>104</v>
      </c>
      <c r="D209" s="226" t="s">
        <v>403</v>
      </c>
      <c r="E209" s="250" t="s">
        <v>95</v>
      </c>
      <c r="F209" s="250" t="s">
        <v>80</v>
      </c>
      <c r="G209" s="250" t="s">
        <v>96</v>
      </c>
      <c r="H209" s="250">
        <v>100</v>
      </c>
      <c r="I209" s="446" t="s">
        <v>437</v>
      </c>
      <c r="J209" s="424" t="s">
        <v>438</v>
      </c>
      <c r="K209" s="121"/>
      <c r="L209" s="25">
        <v>3164.5</v>
      </c>
      <c r="M209" s="25">
        <v>3092.3</v>
      </c>
      <c r="N209" s="25">
        <v>2024.8</v>
      </c>
      <c r="O209" s="25">
        <f>SUM(P209:Q209)</f>
        <v>3661.8</v>
      </c>
      <c r="P209" s="25">
        <v>3661.8</v>
      </c>
      <c r="Q209" s="25">
        <v>0</v>
      </c>
      <c r="R209" s="25">
        <f>SUM(S209:T209)</f>
        <v>3627.9</v>
      </c>
      <c r="S209" s="25">
        <v>3627.9</v>
      </c>
      <c r="T209" s="25">
        <v>0</v>
      </c>
      <c r="U209" s="25">
        <f>SUM(V209:W209)</f>
        <v>3664.4</v>
      </c>
      <c r="V209" s="25">
        <v>3664.4</v>
      </c>
      <c r="W209" s="25">
        <v>0</v>
      </c>
    </row>
    <row r="210" spans="1:24" s="337" customFormat="1" ht="21.75" customHeight="1">
      <c r="A210" s="225" t="s">
        <v>65</v>
      </c>
      <c r="B210" s="229" t="s">
        <v>1019</v>
      </c>
      <c r="C210" s="121" t="s">
        <v>113</v>
      </c>
      <c r="D210" s="226" t="s">
        <v>393</v>
      </c>
      <c r="E210" s="250" t="s">
        <v>98</v>
      </c>
      <c r="F210" s="250" t="s">
        <v>98</v>
      </c>
      <c r="G210" s="250" t="s">
        <v>100</v>
      </c>
      <c r="H210" s="250">
        <v>100</v>
      </c>
      <c r="I210" s="446"/>
      <c r="J210" s="424"/>
      <c r="K210" s="121"/>
      <c r="L210" s="25">
        <v>3944.9</v>
      </c>
      <c r="M210" s="25">
        <v>4476.8999999999996</v>
      </c>
      <c r="N210" s="25">
        <v>2670</v>
      </c>
      <c r="O210" s="25">
        <f>SUM(P210:Q210)</f>
        <v>6277.8</v>
      </c>
      <c r="P210" s="25">
        <v>6277.8</v>
      </c>
      <c r="Q210" s="25">
        <v>0</v>
      </c>
      <c r="R210" s="25">
        <f>SUM(S210:T210)</f>
        <v>6219.6</v>
      </c>
      <c r="S210" s="25">
        <v>6219.6</v>
      </c>
      <c r="T210" s="25">
        <v>0</v>
      </c>
      <c r="U210" s="25">
        <f>SUM(V210:W210)</f>
        <v>6282.3</v>
      </c>
      <c r="V210" s="25">
        <v>6282.3</v>
      </c>
      <c r="W210" s="25">
        <v>0</v>
      </c>
    </row>
    <row r="211" spans="1:24" s="338" customFormat="1" ht="39.75" customHeight="1">
      <c r="A211" s="161" t="s">
        <v>13</v>
      </c>
      <c r="B211" s="205" t="s">
        <v>32</v>
      </c>
      <c r="C211" s="33"/>
      <c r="D211" s="81"/>
      <c r="E211" s="257"/>
      <c r="F211" s="257"/>
      <c r="G211" s="257"/>
      <c r="H211" s="257">
        <v>200</v>
      </c>
      <c r="I211" s="33"/>
      <c r="J211" s="33"/>
      <c r="K211" s="81"/>
      <c r="L211" s="22">
        <f>SUM(L212:L222)</f>
        <v>13185.100000000002</v>
      </c>
      <c r="M211" s="22">
        <f t="shared" ref="M211:W211" si="94">SUM(M212:M222)</f>
        <v>25480.6</v>
      </c>
      <c r="N211" s="22">
        <f t="shared" si="94"/>
        <v>12986.799999999997</v>
      </c>
      <c r="O211" s="22">
        <f t="shared" si="94"/>
        <v>8656.6</v>
      </c>
      <c r="P211" s="22">
        <f t="shared" si="94"/>
        <v>8656.6</v>
      </c>
      <c r="Q211" s="22">
        <f t="shared" si="94"/>
        <v>0</v>
      </c>
      <c r="R211" s="22">
        <f t="shared" si="94"/>
        <v>8576.5</v>
      </c>
      <c r="S211" s="22">
        <f t="shared" si="94"/>
        <v>8576.5</v>
      </c>
      <c r="T211" s="22">
        <f t="shared" si="94"/>
        <v>0</v>
      </c>
      <c r="U211" s="22">
        <f t="shared" si="94"/>
        <v>8662.7000000000007</v>
      </c>
      <c r="V211" s="22">
        <f t="shared" si="94"/>
        <v>8662.7000000000007</v>
      </c>
      <c r="W211" s="22">
        <f t="shared" si="94"/>
        <v>0</v>
      </c>
    </row>
    <row r="212" spans="1:24" s="337" customFormat="1" ht="21.75" customHeight="1">
      <c r="A212" s="225" t="s">
        <v>49</v>
      </c>
      <c r="B212" s="229" t="s">
        <v>1019</v>
      </c>
      <c r="C212" s="124" t="s">
        <v>104</v>
      </c>
      <c r="D212" s="226" t="s">
        <v>403</v>
      </c>
      <c r="E212" s="250" t="s">
        <v>95</v>
      </c>
      <c r="F212" s="250" t="s">
        <v>80</v>
      </c>
      <c r="G212" s="250" t="s">
        <v>96</v>
      </c>
      <c r="H212" s="250">
        <v>200</v>
      </c>
      <c r="I212" s="446" t="s">
        <v>439</v>
      </c>
      <c r="J212" s="446" t="s">
        <v>440</v>
      </c>
      <c r="K212" s="125"/>
      <c r="L212" s="25">
        <f>2147.6+4240.7</f>
        <v>6388.2999999999993</v>
      </c>
      <c r="M212" s="25">
        <f>2188.2+15117.6</f>
        <v>17305.8</v>
      </c>
      <c r="N212" s="25">
        <f>1208.9+7879.4</f>
        <v>9088.2999999999993</v>
      </c>
      <c r="O212" s="25">
        <f>SUM(P212:Q212)</f>
        <v>1481.6</v>
      </c>
      <c r="P212" s="25">
        <f>1481.6</f>
        <v>1481.6</v>
      </c>
      <c r="Q212" s="25">
        <v>0</v>
      </c>
      <c r="R212" s="25">
        <f>SUM(S212:T212)</f>
        <v>1467.8</v>
      </c>
      <c r="S212" s="25">
        <v>1467.8</v>
      </c>
      <c r="T212" s="25">
        <v>0</v>
      </c>
      <c r="U212" s="25">
        <f>SUM(V212:W212)</f>
        <v>1482.6</v>
      </c>
      <c r="V212" s="25">
        <v>1482.6</v>
      </c>
      <c r="W212" s="25">
        <v>0</v>
      </c>
    </row>
    <row r="213" spans="1:24" s="337" customFormat="1" ht="21.75" customHeight="1">
      <c r="A213" s="225" t="s">
        <v>70</v>
      </c>
      <c r="B213" s="229" t="s">
        <v>1019</v>
      </c>
      <c r="C213" s="124" t="s">
        <v>104</v>
      </c>
      <c r="D213" s="226" t="s">
        <v>403</v>
      </c>
      <c r="E213" s="250" t="s">
        <v>95</v>
      </c>
      <c r="F213" s="250" t="s">
        <v>80</v>
      </c>
      <c r="G213" s="250" t="s">
        <v>184</v>
      </c>
      <c r="H213" s="250">
        <v>200</v>
      </c>
      <c r="I213" s="446"/>
      <c r="J213" s="446"/>
      <c r="K213" s="125"/>
      <c r="L213" s="25">
        <v>388.7</v>
      </c>
      <c r="M213" s="25">
        <v>380.2</v>
      </c>
      <c r="N213" s="25">
        <v>107.3</v>
      </c>
      <c r="O213" s="25">
        <f t="shared" ref="O213:O221" si="95">SUM(P213:Q213)</f>
        <v>336.1</v>
      </c>
      <c r="P213" s="25">
        <v>336.1</v>
      </c>
      <c r="Q213" s="25">
        <v>0</v>
      </c>
      <c r="R213" s="25">
        <f t="shared" ref="R213:R221" si="96">SUM(S213:T213)</f>
        <v>333</v>
      </c>
      <c r="S213" s="25">
        <v>333</v>
      </c>
      <c r="T213" s="25">
        <v>0</v>
      </c>
      <c r="U213" s="25">
        <f t="shared" ref="U213:U221" si="97">SUM(V213:W213)</f>
        <v>336.3</v>
      </c>
      <c r="V213" s="25">
        <v>336.3</v>
      </c>
      <c r="W213" s="25">
        <v>0</v>
      </c>
    </row>
    <row r="214" spans="1:24" s="337" customFormat="1" ht="21.75" customHeight="1">
      <c r="A214" s="225" t="s">
        <v>266</v>
      </c>
      <c r="B214" s="229" t="s">
        <v>1019</v>
      </c>
      <c r="C214" s="124" t="s">
        <v>442</v>
      </c>
      <c r="D214" s="226" t="s">
        <v>394</v>
      </c>
      <c r="E214" s="250" t="s">
        <v>93</v>
      </c>
      <c r="F214" s="250" t="s">
        <v>97</v>
      </c>
      <c r="G214" s="250" t="s">
        <v>185</v>
      </c>
      <c r="H214" s="250">
        <v>200</v>
      </c>
      <c r="I214" s="122" t="s">
        <v>208</v>
      </c>
      <c r="J214" s="121" t="s">
        <v>443</v>
      </c>
      <c r="K214" s="126"/>
      <c r="L214" s="25">
        <v>833.6</v>
      </c>
      <c r="M214" s="25">
        <v>603.5</v>
      </c>
      <c r="N214" s="25">
        <v>50.85</v>
      </c>
      <c r="O214" s="25">
        <f t="shared" si="95"/>
        <v>530</v>
      </c>
      <c r="P214" s="25">
        <v>530</v>
      </c>
      <c r="Q214" s="25">
        <v>0</v>
      </c>
      <c r="R214" s="25">
        <f t="shared" si="96"/>
        <v>525.1</v>
      </c>
      <c r="S214" s="25">
        <v>525.1</v>
      </c>
      <c r="T214" s="25">
        <v>0</v>
      </c>
      <c r="U214" s="25">
        <f t="shared" si="97"/>
        <v>530.4</v>
      </c>
      <c r="V214" s="25">
        <v>530.4</v>
      </c>
      <c r="W214" s="25">
        <v>0</v>
      </c>
    </row>
    <row r="215" spans="1:24" s="337" customFormat="1" ht="21.75" customHeight="1">
      <c r="A215" s="225" t="s">
        <v>268</v>
      </c>
      <c r="B215" s="229" t="s">
        <v>1019</v>
      </c>
      <c r="C215" s="124" t="s">
        <v>442</v>
      </c>
      <c r="D215" s="226" t="s">
        <v>394</v>
      </c>
      <c r="E215" s="250" t="s">
        <v>93</v>
      </c>
      <c r="F215" s="250" t="s">
        <v>97</v>
      </c>
      <c r="G215" s="226" t="s">
        <v>162</v>
      </c>
      <c r="H215" s="250">
        <v>200</v>
      </c>
      <c r="I215" s="122" t="s">
        <v>208</v>
      </c>
      <c r="J215" s="121" t="s">
        <v>443</v>
      </c>
      <c r="K215" s="126"/>
      <c r="L215" s="25"/>
      <c r="M215" s="25">
        <v>31.4</v>
      </c>
      <c r="N215" s="25">
        <v>50.85</v>
      </c>
      <c r="O215" s="25">
        <f t="shared" si="95"/>
        <v>31.4</v>
      </c>
      <c r="P215" s="25">
        <v>31.4</v>
      </c>
      <c r="Q215" s="25">
        <v>0</v>
      </c>
      <c r="R215" s="25">
        <f t="shared" si="96"/>
        <v>31.1</v>
      </c>
      <c r="S215" s="25">
        <v>31.1</v>
      </c>
      <c r="T215" s="25">
        <v>0</v>
      </c>
      <c r="U215" s="25">
        <f t="shared" si="97"/>
        <v>31.4</v>
      </c>
      <c r="V215" s="25">
        <v>31.4</v>
      </c>
      <c r="W215" s="25">
        <v>0</v>
      </c>
    </row>
    <row r="216" spans="1:24" s="337" customFormat="1" ht="21.75" customHeight="1">
      <c r="A216" s="225" t="s">
        <v>269</v>
      </c>
      <c r="B216" s="229" t="s">
        <v>1019</v>
      </c>
      <c r="C216" s="124" t="s">
        <v>444</v>
      </c>
      <c r="D216" s="226" t="s">
        <v>395</v>
      </c>
      <c r="E216" s="250" t="s">
        <v>98</v>
      </c>
      <c r="F216" s="250" t="s">
        <v>95</v>
      </c>
      <c r="G216" s="250" t="s">
        <v>186</v>
      </c>
      <c r="H216" s="226">
        <v>200</v>
      </c>
      <c r="I216" s="427" t="s">
        <v>180</v>
      </c>
      <c r="J216" s="471" t="s">
        <v>133</v>
      </c>
      <c r="K216" s="126"/>
      <c r="L216" s="25">
        <v>4439.6000000000004</v>
      </c>
      <c r="M216" s="25">
        <v>4800.5</v>
      </c>
      <c r="N216" s="25">
        <v>2599.8000000000002</v>
      </c>
      <c r="O216" s="25">
        <f t="shared" si="95"/>
        <v>4817.8999999999996</v>
      </c>
      <c r="P216" s="25">
        <v>4817.8999999999996</v>
      </c>
      <c r="Q216" s="25">
        <v>0</v>
      </c>
      <c r="R216" s="25">
        <f t="shared" si="96"/>
        <v>4377</v>
      </c>
      <c r="S216" s="25">
        <v>4377</v>
      </c>
      <c r="T216" s="25">
        <v>0</v>
      </c>
      <c r="U216" s="25">
        <f t="shared" si="97"/>
        <v>4421.1000000000004</v>
      </c>
      <c r="V216" s="25">
        <v>4421.1000000000004</v>
      </c>
      <c r="W216" s="25">
        <v>0</v>
      </c>
    </row>
    <row r="217" spans="1:24" s="337" customFormat="1" ht="21.75" customHeight="1">
      <c r="A217" s="225" t="s">
        <v>270</v>
      </c>
      <c r="B217" s="229" t="s">
        <v>1019</v>
      </c>
      <c r="C217" s="124" t="s">
        <v>277</v>
      </c>
      <c r="D217" s="226" t="s">
        <v>395</v>
      </c>
      <c r="E217" s="250" t="s">
        <v>98</v>
      </c>
      <c r="F217" s="250" t="s">
        <v>95</v>
      </c>
      <c r="G217" s="250" t="s">
        <v>225</v>
      </c>
      <c r="H217" s="226">
        <v>200</v>
      </c>
      <c r="I217" s="427"/>
      <c r="J217" s="471"/>
      <c r="K217" s="126"/>
      <c r="L217" s="25">
        <v>0</v>
      </c>
      <c r="M217" s="25">
        <v>0</v>
      </c>
      <c r="N217" s="25">
        <v>150</v>
      </c>
      <c r="O217" s="25">
        <f t="shared" si="95"/>
        <v>131.69999999999999</v>
      </c>
      <c r="P217" s="25">
        <v>131.69999999999999</v>
      </c>
      <c r="Q217" s="25">
        <v>0</v>
      </c>
      <c r="R217" s="25">
        <f t="shared" si="96"/>
        <v>130.5</v>
      </c>
      <c r="S217" s="25">
        <v>130.5</v>
      </c>
      <c r="T217" s="25">
        <v>0</v>
      </c>
      <c r="U217" s="25">
        <f t="shared" si="97"/>
        <v>131.80000000000001</v>
      </c>
      <c r="V217" s="25">
        <v>131.80000000000001</v>
      </c>
      <c r="W217" s="25">
        <v>0</v>
      </c>
      <c r="X217" s="339"/>
    </row>
    <row r="218" spans="1:24" s="337" customFormat="1" ht="21.75" customHeight="1">
      <c r="A218" s="225" t="s">
        <v>282</v>
      </c>
      <c r="B218" s="229" t="s">
        <v>1019</v>
      </c>
      <c r="C218" s="124" t="s">
        <v>445</v>
      </c>
      <c r="D218" s="226" t="s">
        <v>395</v>
      </c>
      <c r="E218" s="250" t="s">
        <v>98</v>
      </c>
      <c r="F218" s="250" t="s">
        <v>95</v>
      </c>
      <c r="G218" s="250" t="s">
        <v>126</v>
      </c>
      <c r="H218" s="226">
        <v>200</v>
      </c>
      <c r="I218" s="427"/>
      <c r="J218" s="471"/>
      <c r="K218" s="126"/>
      <c r="L218" s="25">
        <v>112.6</v>
      </c>
      <c r="M218" s="25">
        <v>57.5</v>
      </c>
      <c r="N218" s="25">
        <v>57.5</v>
      </c>
      <c r="O218" s="25">
        <f t="shared" si="95"/>
        <v>88.8</v>
      </c>
      <c r="P218" s="25">
        <v>88.8</v>
      </c>
      <c r="Q218" s="25">
        <v>0</v>
      </c>
      <c r="R218" s="25">
        <f t="shared" si="96"/>
        <v>88</v>
      </c>
      <c r="S218" s="25">
        <v>88</v>
      </c>
      <c r="T218" s="25">
        <v>0</v>
      </c>
      <c r="U218" s="25">
        <f t="shared" si="97"/>
        <v>88.9</v>
      </c>
      <c r="V218" s="25">
        <v>88.9</v>
      </c>
      <c r="W218" s="25">
        <v>0</v>
      </c>
    </row>
    <row r="219" spans="1:24" s="337" customFormat="1" ht="21.75" customHeight="1">
      <c r="A219" s="225" t="s">
        <v>283</v>
      </c>
      <c r="B219" s="229" t="s">
        <v>1019</v>
      </c>
      <c r="C219" s="124" t="s">
        <v>446</v>
      </c>
      <c r="D219" s="226" t="s">
        <v>396</v>
      </c>
      <c r="E219" s="250" t="s">
        <v>98</v>
      </c>
      <c r="F219" s="250" t="s">
        <v>95</v>
      </c>
      <c r="G219" s="226" t="s">
        <v>226</v>
      </c>
      <c r="H219" s="226">
        <v>200</v>
      </c>
      <c r="I219" s="427"/>
      <c r="J219" s="471"/>
      <c r="K219" s="126"/>
      <c r="L219" s="25">
        <v>0</v>
      </c>
      <c r="M219" s="25">
        <v>0</v>
      </c>
      <c r="N219" s="25">
        <v>0</v>
      </c>
      <c r="O219" s="25">
        <f t="shared" si="95"/>
        <v>163.4</v>
      </c>
      <c r="P219" s="25">
        <v>163.4</v>
      </c>
      <c r="Q219" s="25">
        <v>0</v>
      </c>
      <c r="R219" s="25">
        <f t="shared" si="96"/>
        <v>261</v>
      </c>
      <c r="S219" s="25">
        <v>261</v>
      </c>
      <c r="T219" s="25">
        <v>0</v>
      </c>
      <c r="U219" s="25">
        <f t="shared" si="97"/>
        <v>263.60000000000002</v>
      </c>
      <c r="V219" s="25">
        <v>263.60000000000002</v>
      </c>
      <c r="W219" s="25">
        <v>0</v>
      </c>
    </row>
    <row r="220" spans="1:24" s="337" customFormat="1" ht="21.75" customHeight="1">
      <c r="A220" s="225" t="s">
        <v>278</v>
      </c>
      <c r="B220" s="229" t="s">
        <v>1019</v>
      </c>
      <c r="C220" s="124" t="s">
        <v>446</v>
      </c>
      <c r="D220" s="226" t="s">
        <v>396</v>
      </c>
      <c r="E220" s="250" t="s">
        <v>98</v>
      </c>
      <c r="F220" s="250" t="s">
        <v>95</v>
      </c>
      <c r="G220" s="250" t="s">
        <v>121</v>
      </c>
      <c r="H220" s="226">
        <v>200</v>
      </c>
      <c r="I220" s="427"/>
      <c r="J220" s="471"/>
      <c r="K220" s="126"/>
      <c r="L220" s="25">
        <v>216</v>
      </c>
      <c r="M220" s="25">
        <v>467.3</v>
      </c>
      <c r="N220" s="25">
        <v>120</v>
      </c>
      <c r="O220" s="25">
        <f t="shared" si="95"/>
        <v>210.4</v>
      </c>
      <c r="P220" s="25">
        <v>210.4</v>
      </c>
      <c r="Q220" s="25">
        <v>0</v>
      </c>
      <c r="R220" s="25">
        <f t="shared" si="96"/>
        <v>406.6</v>
      </c>
      <c r="S220" s="25">
        <v>406.6</v>
      </c>
      <c r="T220" s="25">
        <v>0</v>
      </c>
      <c r="U220" s="25">
        <f t="shared" si="97"/>
        <v>410.7</v>
      </c>
      <c r="V220" s="25">
        <v>410.7</v>
      </c>
      <c r="W220" s="25">
        <v>0</v>
      </c>
    </row>
    <row r="221" spans="1:24" s="337" customFormat="1" ht="21.75" customHeight="1">
      <c r="A221" s="225" t="s">
        <v>287</v>
      </c>
      <c r="B221" s="229" t="s">
        <v>1019</v>
      </c>
      <c r="C221" s="124" t="s">
        <v>447</v>
      </c>
      <c r="D221" s="226" t="s">
        <v>395</v>
      </c>
      <c r="E221" s="250" t="s">
        <v>98</v>
      </c>
      <c r="F221" s="250" t="s">
        <v>95</v>
      </c>
      <c r="G221" s="250" t="s">
        <v>178</v>
      </c>
      <c r="H221" s="226">
        <v>200</v>
      </c>
      <c r="I221" s="427"/>
      <c r="J221" s="471"/>
      <c r="K221" s="126"/>
      <c r="L221" s="25">
        <v>306.2</v>
      </c>
      <c r="M221" s="25">
        <v>563.1</v>
      </c>
      <c r="N221" s="25">
        <v>303.89999999999998</v>
      </c>
      <c r="O221" s="25">
        <f t="shared" si="95"/>
        <v>79.599999999999994</v>
      </c>
      <c r="P221" s="25">
        <v>79.599999999999994</v>
      </c>
      <c r="Q221" s="25">
        <v>0</v>
      </c>
      <c r="R221" s="25">
        <f t="shared" si="96"/>
        <v>178</v>
      </c>
      <c r="S221" s="25">
        <v>178</v>
      </c>
      <c r="T221" s="25">
        <v>0</v>
      </c>
      <c r="U221" s="25">
        <f t="shared" si="97"/>
        <v>179.7</v>
      </c>
      <c r="V221" s="25">
        <v>179.7</v>
      </c>
      <c r="W221" s="25">
        <v>0</v>
      </c>
    </row>
    <row r="222" spans="1:24" s="337" customFormat="1" ht="21.75" customHeight="1">
      <c r="A222" s="225" t="s">
        <v>298</v>
      </c>
      <c r="B222" s="229" t="s">
        <v>1019</v>
      </c>
      <c r="C222" s="121" t="s">
        <v>1020</v>
      </c>
      <c r="D222" s="226" t="s">
        <v>393</v>
      </c>
      <c r="E222" s="250" t="s">
        <v>98</v>
      </c>
      <c r="F222" s="250" t="s">
        <v>98</v>
      </c>
      <c r="G222" s="226" t="s">
        <v>100</v>
      </c>
      <c r="H222" s="250">
        <v>200</v>
      </c>
      <c r="I222" s="103"/>
      <c r="J222" s="126"/>
      <c r="K222" s="126"/>
      <c r="L222" s="25">
        <v>500.1</v>
      </c>
      <c r="M222" s="25">
        <v>1271.3</v>
      </c>
      <c r="N222" s="25">
        <v>458.3</v>
      </c>
      <c r="O222" s="25">
        <f>SUM(P222:Q222)</f>
        <v>785.7</v>
      </c>
      <c r="P222" s="25">
        <v>785.7</v>
      </c>
      <c r="Q222" s="25">
        <v>0</v>
      </c>
      <c r="R222" s="25">
        <f>SUM(S222:T222)</f>
        <v>778.4</v>
      </c>
      <c r="S222" s="25">
        <v>778.4</v>
      </c>
      <c r="T222" s="25">
        <v>0</v>
      </c>
      <c r="U222" s="25">
        <f>SUM(V222:W222)</f>
        <v>786.2</v>
      </c>
      <c r="V222" s="25">
        <v>786.2</v>
      </c>
      <c r="W222" s="25">
        <v>0</v>
      </c>
    </row>
    <row r="223" spans="1:24" s="338" customFormat="1">
      <c r="A223" s="161" t="s">
        <v>50</v>
      </c>
      <c r="B223" s="205" t="s">
        <v>31</v>
      </c>
      <c r="C223" s="136"/>
      <c r="D223" s="148"/>
      <c r="E223" s="148"/>
      <c r="F223" s="148"/>
      <c r="G223" s="148"/>
      <c r="H223" s="148">
        <v>800</v>
      </c>
      <c r="I223" s="83"/>
      <c r="J223" s="83"/>
      <c r="K223" s="148"/>
      <c r="L223" s="22">
        <f>L224+L225</f>
        <v>27.299999999999997</v>
      </c>
      <c r="M223" s="22">
        <f t="shared" ref="M223:W223" si="98">M224+M225</f>
        <v>30.5</v>
      </c>
      <c r="N223" s="22">
        <f t="shared" si="98"/>
        <v>26.4</v>
      </c>
      <c r="O223" s="22">
        <f t="shared" si="98"/>
        <v>37</v>
      </c>
      <c r="P223" s="22">
        <f t="shared" si="98"/>
        <v>37</v>
      </c>
      <c r="Q223" s="22">
        <f t="shared" si="98"/>
        <v>0</v>
      </c>
      <c r="R223" s="22">
        <f t="shared" si="98"/>
        <v>36.6</v>
      </c>
      <c r="S223" s="22">
        <f t="shared" si="98"/>
        <v>36.6</v>
      </c>
      <c r="T223" s="22">
        <f t="shared" si="98"/>
        <v>0</v>
      </c>
      <c r="U223" s="22">
        <f t="shared" si="98"/>
        <v>37</v>
      </c>
      <c r="V223" s="22">
        <f t="shared" si="98"/>
        <v>37</v>
      </c>
      <c r="W223" s="22">
        <f t="shared" si="98"/>
        <v>0</v>
      </c>
    </row>
    <row r="224" spans="1:24" s="337" customFormat="1" ht="56.25">
      <c r="A224" s="225" t="s">
        <v>51</v>
      </c>
      <c r="B224" s="229" t="s">
        <v>1019</v>
      </c>
      <c r="C224" s="122" t="s">
        <v>104</v>
      </c>
      <c r="D224" s="300" t="s">
        <v>403</v>
      </c>
      <c r="E224" s="250" t="s">
        <v>95</v>
      </c>
      <c r="F224" s="250" t="s">
        <v>80</v>
      </c>
      <c r="G224" s="250" t="s">
        <v>96</v>
      </c>
      <c r="H224" s="250">
        <v>800</v>
      </c>
      <c r="I224" s="446" t="s">
        <v>209</v>
      </c>
      <c r="J224" s="446" t="s">
        <v>448</v>
      </c>
      <c r="K224" s="126"/>
      <c r="L224" s="25">
        <v>13.6</v>
      </c>
      <c r="M224" s="25">
        <v>16.2</v>
      </c>
      <c r="N224" s="25">
        <v>8.5</v>
      </c>
      <c r="O224" s="25">
        <f t="shared" ref="O224" si="99">SUM(P224:Q224)</f>
        <v>14.2</v>
      </c>
      <c r="P224" s="25">
        <v>14.2</v>
      </c>
      <c r="Q224" s="25">
        <v>0</v>
      </c>
      <c r="R224" s="25">
        <f t="shared" ref="R224" si="100">SUM(S224:T224)</f>
        <v>14.1</v>
      </c>
      <c r="S224" s="25">
        <v>14.1</v>
      </c>
      <c r="T224" s="25">
        <v>0</v>
      </c>
      <c r="U224" s="25">
        <f t="shared" ref="U224" si="101">SUM(V224:W224)</f>
        <v>14.2</v>
      </c>
      <c r="V224" s="25">
        <v>14.2</v>
      </c>
      <c r="W224" s="25">
        <v>0</v>
      </c>
    </row>
    <row r="225" spans="1:23" s="337" customFormat="1" ht="112.5">
      <c r="A225" s="225" t="s">
        <v>72</v>
      </c>
      <c r="B225" s="229" t="s">
        <v>1019</v>
      </c>
      <c r="C225" s="124" t="s">
        <v>1020</v>
      </c>
      <c r="D225" s="226" t="s">
        <v>393</v>
      </c>
      <c r="E225" s="250" t="s">
        <v>98</v>
      </c>
      <c r="F225" s="250" t="s">
        <v>98</v>
      </c>
      <c r="G225" s="250" t="s">
        <v>100</v>
      </c>
      <c r="H225" s="250">
        <v>800</v>
      </c>
      <c r="I225" s="446"/>
      <c r="J225" s="446"/>
      <c r="K225" s="121"/>
      <c r="L225" s="25">
        <v>13.7</v>
      </c>
      <c r="M225" s="25">
        <v>14.3</v>
      </c>
      <c r="N225" s="25">
        <v>17.899999999999999</v>
      </c>
      <c r="O225" s="25">
        <f>SUM(P225:Q225)</f>
        <v>22.8</v>
      </c>
      <c r="P225" s="25">
        <v>22.8</v>
      </c>
      <c r="Q225" s="25">
        <v>0</v>
      </c>
      <c r="R225" s="25">
        <f>SUM(S225:T225)</f>
        <v>22.5</v>
      </c>
      <c r="S225" s="25">
        <v>22.5</v>
      </c>
      <c r="T225" s="25">
        <v>0</v>
      </c>
      <c r="U225" s="25">
        <f>SUM(V225:W225)</f>
        <v>22.8</v>
      </c>
      <c r="V225" s="25">
        <v>22.8</v>
      </c>
      <c r="W225" s="25">
        <v>0</v>
      </c>
    </row>
    <row r="226" spans="1:23" s="340" customFormat="1">
      <c r="A226" s="630" t="s">
        <v>56</v>
      </c>
      <c r="B226" s="421" t="s">
        <v>31</v>
      </c>
      <c r="C226" s="421"/>
      <c r="D226" s="421"/>
      <c r="E226" s="421"/>
      <c r="F226" s="421"/>
      <c r="G226" s="421"/>
      <c r="H226" s="421"/>
      <c r="I226" s="421"/>
      <c r="J226" s="421"/>
      <c r="K226" s="421"/>
      <c r="L226" s="665">
        <f>L227</f>
        <v>12.4</v>
      </c>
      <c r="M226" s="665">
        <f t="shared" ref="M226:W226" si="102">M227</f>
        <v>11</v>
      </c>
      <c r="N226" s="665">
        <f t="shared" si="102"/>
        <v>6.2</v>
      </c>
      <c r="O226" s="665">
        <f t="shared" si="102"/>
        <v>13.2</v>
      </c>
      <c r="P226" s="665">
        <f t="shared" si="102"/>
        <v>13.2</v>
      </c>
      <c r="Q226" s="665">
        <f t="shared" si="102"/>
        <v>0</v>
      </c>
      <c r="R226" s="665">
        <f t="shared" si="102"/>
        <v>13.1</v>
      </c>
      <c r="S226" s="665">
        <f t="shared" si="102"/>
        <v>13.1</v>
      </c>
      <c r="T226" s="665">
        <f t="shared" si="102"/>
        <v>0</v>
      </c>
      <c r="U226" s="665">
        <f t="shared" si="102"/>
        <v>13.2</v>
      </c>
      <c r="V226" s="665">
        <f t="shared" si="102"/>
        <v>13.2</v>
      </c>
      <c r="W226" s="665">
        <f t="shared" si="102"/>
        <v>0</v>
      </c>
    </row>
    <row r="227" spans="1:23" s="341" customFormat="1" ht="168.75">
      <c r="A227" s="225"/>
      <c r="B227" s="229" t="s">
        <v>449</v>
      </c>
      <c r="C227" s="124" t="s">
        <v>449</v>
      </c>
      <c r="D227" s="221" t="s">
        <v>349</v>
      </c>
      <c r="E227" s="250" t="s">
        <v>451</v>
      </c>
      <c r="F227" s="250" t="s">
        <v>93</v>
      </c>
      <c r="G227" s="250" t="s">
        <v>452</v>
      </c>
      <c r="H227" s="250" t="s">
        <v>142</v>
      </c>
      <c r="I227" s="111"/>
      <c r="J227" s="41"/>
      <c r="K227" s="41"/>
      <c r="L227" s="25">
        <v>12.4</v>
      </c>
      <c r="M227" s="25">
        <v>11</v>
      </c>
      <c r="N227" s="25">
        <v>6.2</v>
      </c>
      <c r="O227" s="25">
        <f>SUM(P227:Q227)</f>
        <v>13.2</v>
      </c>
      <c r="P227" s="25">
        <v>13.2</v>
      </c>
      <c r="Q227" s="25">
        <v>0</v>
      </c>
      <c r="R227" s="25">
        <f>SUM(S227:T227)</f>
        <v>13.1</v>
      </c>
      <c r="S227" s="25">
        <v>13.1</v>
      </c>
      <c r="T227" s="25">
        <v>0</v>
      </c>
      <c r="U227" s="25">
        <f>SUM(V227:W227)</f>
        <v>13.2</v>
      </c>
      <c r="V227" s="25">
        <v>13.2</v>
      </c>
      <c r="W227" s="25">
        <v>0</v>
      </c>
    </row>
    <row r="228" spans="1:23" ht="56.25">
      <c r="A228" s="306" t="s">
        <v>128</v>
      </c>
      <c r="B228" s="302" t="s">
        <v>1533</v>
      </c>
      <c r="C228" s="306"/>
      <c r="D228" s="306"/>
      <c r="E228" s="306"/>
      <c r="F228" s="306"/>
      <c r="G228" s="306"/>
      <c r="H228" s="306"/>
      <c r="I228" s="306"/>
      <c r="J228" s="306"/>
      <c r="K228" s="306" t="s">
        <v>62</v>
      </c>
      <c r="L228" s="594">
        <f>SUM(L229)</f>
        <v>29952.300000000003</v>
      </c>
      <c r="M228" s="594">
        <f t="shared" ref="M228:W228" si="103">SUM(M229)</f>
        <v>52119.200000000004</v>
      </c>
      <c r="N228" s="594">
        <f t="shared" si="103"/>
        <v>25333.7</v>
      </c>
      <c r="O228" s="594">
        <f t="shared" si="103"/>
        <v>23901.5</v>
      </c>
      <c r="P228" s="594">
        <f t="shared" si="103"/>
        <v>23901.5</v>
      </c>
      <c r="Q228" s="594">
        <f t="shared" si="103"/>
        <v>0</v>
      </c>
      <c r="R228" s="594">
        <f t="shared" si="103"/>
        <v>23680.299999999996</v>
      </c>
      <c r="S228" s="594">
        <f t="shared" si="103"/>
        <v>23680.299999999996</v>
      </c>
      <c r="T228" s="594">
        <f t="shared" si="103"/>
        <v>0</v>
      </c>
      <c r="U228" s="594">
        <f t="shared" si="103"/>
        <v>23918.300000000003</v>
      </c>
      <c r="V228" s="594">
        <f t="shared" si="103"/>
        <v>23918.300000000003</v>
      </c>
      <c r="W228" s="594">
        <f t="shared" si="103"/>
        <v>0</v>
      </c>
    </row>
    <row r="229" spans="1:23">
      <c r="A229" s="322" t="s">
        <v>9</v>
      </c>
      <c r="B229" s="506" t="s">
        <v>67</v>
      </c>
      <c r="C229" s="506"/>
      <c r="D229" s="506"/>
      <c r="E229" s="506"/>
      <c r="F229" s="506"/>
      <c r="G229" s="506"/>
      <c r="H229" s="506"/>
      <c r="I229" s="506"/>
      <c r="J229" s="506"/>
      <c r="K229" s="506"/>
      <c r="L229" s="595">
        <f>SUM(L230,L236)</f>
        <v>29952.300000000003</v>
      </c>
      <c r="M229" s="595">
        <f t="shared" ref="M229:W229" si="104">SUM(M230,M236)</f>
        <v>52119.200000000004</v>
      </c>
      <c r="N229" s="595">
        <f t="shared" si="104"/>
        <v>25333.7</v>
      </c>
      <c r="O229" s="595">
        <f t="shared" si="104"/>
        <v>23901.5</v>
      </c>
      <c r="P229" s="595">
        <f t="shared" si="104"/>
        <v>23901.5</v>
      </c>
      <c r="Q229" s="595">
        <f t="shared" si="104"/>
        <v>0</v>
      </c>
      <c r="R229" s="595">
        <f t="shared" si="104"/>
        <v>23680.299999999996</v>
      </c>
      <c r="S229" s="595">
        <f t="shared" si="104"/>
        <v>23680.299999999996</v>
      </c>
      <c r="T229" s="595">
        <f t="shared" si="104"/>
        <v>0</v>
      </c>
      <c r="U229" s="595">
        <f t="shared" si="104"/>
        <v>23918.300000000003</v>
      </c>
      <c r="V229" s="595">
        <f t="shared" si="104"/>
        <v>23918.300000000003</v>
      </c>
      <c r="W229" s="595">
        <f t="shared" si="104"/>
        <v>0</v>
      </c>
    </row>
    <row r="230" spans="1:23" ht="27" customHeight="1">
      <c r="A230" s="323" t="s">
        <v>57</v>
      </c>
      <c r="B230" s="766"/>
      <c r="C230" s="767"/>
      <c r="D230" s="768"/>
      <c r="E230" s="766"/>
      <c r="F230" s="766"/>
      <c r="G230" s="766"/>
      <c r="H230" s="766"/>
      <c r="I230" s="769"/>
      <c r="J230" s="767"/>
      <c r="K230" s="768"/>
      <c r="L230" s="316">
        <f>SUM(L231:L235)</f>
        <v>4797.0999999999995</v>
      </c>
      <c r="M230" s="316">
        <f t="shared" ref="M230:W230" si="105">SUM(M231:M235)</f>
        <v>4676.5</v>
      </c>
      <c r="N230" s="316">
        <f t="shared" si="105"/>
        <v>3343.2</v>
      </c>
      <c r="O230" s="316">
        <f t="shared" si="105"/>
        <v>4779.3</v>
      </c>
      <c r="P230" s="316">
        <f>SUM(P231:P235)</f>
        <v>4779.3</v>
      </c>
      <c r="Q230" s="316">
        <f t="shared" si="105"/>
        <v>0</v>
      </c>
      <c r="R230" s="316">
        <f t="shared" si="105"/>
        <v>4735.0999999999995</v>
      </c>
      <c r="S230" s="316">
        <f t="shared" si="105"/>
        <v>4735.0999999999995</v>
      </c>
      <c r="T230" s="316">
        <f t="shared" si="105"/>
        <v>0</v>
      </c>
      <c r="U230" s="316">
        <f t="shared" si="105"/>
        <v>4782.7</v>
      </c>
      <c r="V230" s="316">
        <f t="shared" si="105"/>
        <v>4782.7</v>
      </c>
      <c r="W230" s="316">
        <f t="shared" si="105"/>
        <v>0</v>
      </c>
    </row>
    <row r="231" spans="1:23" ht="37.5">
      <c r="A231" s="320" t="s">
        <v>10</v>
      </c>
      <c r="B231" s="318" t="s">
        <v>68</v>
      </c>
      <c r="C231" s="300"/>
      <c r="D231" s="300" t="s">
        <v>1240</v>
      </c>
      <c r="E231" s="335" t="s">
        <v>92</v>
      </c>
      <c r="F231" s="335" t="s">
        <v>93</v>
      </c>
      <c r="G231" s="335" t="s">
        <v>1241</v>
      </c>
      <c r="H231" s="300">
        <v>100</v>
      </c>
      <c r="I231" s="760" t="s">
        <v>115</v>
      </c>
      <c r="J231" s="300" t="s">
        <v>362</v>
      </c>
      <c r="K231" s="332"/>
      <c r="L231" s="79">
        <v>4049</v>
      </c>
      <c r="M231" s="79">
        <v>3975.7</v>
      </c>
      <c r="N231" s="79">
        <v>2765</v>
      </c>
      <c r="O231" s="79">
        <f>SUM(P231:Q231)</f>
        <v>4526.1000000000004</v>
      </c>
      <c r="P231" s="79">
        <v>4526.1000000000004</v>
      </c>
      <c r="Q231" s="79"/>
      <c r="R231" s="79">
        <f t="shared" ref="R231:R232" si="106">SUM(S231:T231)</f>
        <v>4484.2</v>
      </c>
      <c r="S231" s="79">
        <v>4484.2</v>
      </c>
      <c r="T231" s="79"/>
      <c r="U231" s="79">
        <f t="shared" ref="U231:U232" si="107">SUM(V231:W231)</f>
        <v>4529.3999999999996</v>
      </c>
      <c r="V231" s="79">
        <v>4529.3999999999996</v>
      </c>
      <c r="W231" s="79"/>
    </row>
    <row r="232" spans="1:23" ht="37.5">
      <c r="A232" s="320" t="s">
        <v>11</v>
      </c>
      <c r="B232" s="318" t="s">
        <v>1015</v>
      </c>
      <c r="C232" s="300"/>
      <c r="D232" s="300" t="s">
        <v>383</v>
      </c>
      <c r="E232" s="335" t="s">
        <v>92</v>
      </c>
      <c r="F232" s="335" t="s">
        <v>93</v>
      </c>
      <c r="G232" s="335" t="s">
        <v>986</v>
      </c>
      <c r="H232" s="300" t="s">
        <v>1242</v>
      </c>
      <c r="I232" s="760"/>
      <c r="J232" s="300"/>
      <c r="K232" s="102"/>
      <c r="L232" s="79">
        <v>80</v>
      </c>
      <c r="M232" s="79"/>
      <c r="N232" s="79"/>
      <c r="O232" s="79">
        <f t="shared" ref="O232:O233" si="108">SUM(P232:Q232)</f>
        <v>0</v>
      </c>
      <c r="P232" s="79"/>
      <c r="Q232" s="79"/>
      <c r="R232" s="79">
        <f t="shared" si="106"/>
        <v>0</v>
      </c>
      <c r="S232" s="79"/>
      <c r="T232" s="79"/>
      <c r="U232" s="79">
        <f t="shared" si="107"/>
        <v>0</v>
      </c>
      <c r="V232" s="79"/>
      <c r="W232" s="79"/>
    </row>
    <row r="233" spans="1:23" ht="37.5">
      <c r="A233" s="320" t="s">
        <v>20</v>
      </c>
      <c r="B233" s="318" t="s">
        <v>69</v>
      </c>
      <c r="C233" s="300"/>
      <c r="D233" s="300" t="s">
        <v>349</v>
      </c>
      <c r="E233" s="335" t="s">
        <v>92</v>
      </c>
      <c r="F233" s="335" t="s">
        <v>93</v>
      </c>
      <c r="G233" s="335">
        <v>7770100190</v>
      </c>
      <c r="H233" s="300">
        <v>200</v>
      </c>
      <c r="I233" s="760"/>
      <c r="J233" s="300"/>
      <c r="K233" s="102"/>
      <c r="L233" s="79">
        <v>274.39999999999998</v>
      </c>
      <c r="M233" s="79">
        <v>285.8</v>
      </c>
      <c r="N233" s="79">
        <v>182.6</v>
      </c>
      <c r="O233" s="79">
        <f t="shared" si="108"/>
        <v>253.2</v>
      </c>
      <c r="P233" s="79">
        <v>253.2</v>
      </c>
      <c r="Q233" s="79"/>
      <c r="R233" s="79">
        <f>SUM(S233:T233)</f>
        <v>250.9</v>
      </c>
      <c r="S233" s="79">
        <v>250.9</v>
      </c>
      <c r="T233" s="79"/>
      <c r="U233" s="79">
        <f>SUM(V233:W233)</f>
        <v>253.3</v>
      </c>
      <c r="V233" s="79">
        <v>253.3</v>
      </c>
      <c r="W233" s="79"/>
    </row>
    <row r="234" spans="1:23">
      <c r="A234" s="320" t="s">
        <v>175</v>
      </c>
      <c r="B234" s="318" t="s">
        <v>1233</v>
      </c>
      <c r="C234" s="300"/>
      <c r="D234" s="300" t="s">
        <v>1021</v>
      </c>
      <c r="E234" s="335" t="s">
        <v>80</v>
      </c>
      <c r="F234" s="335" t="s">
        <v>144</v>
      </c>
      <c r="G234" s="318">
        <v>1710421050</v>
      </c>
      <c r="H234" s="298">
        <v>200</v>
      </c>
      <c r="I234" s="761"/>
      <c r="J234" s="300"/>
      <c r="K234" s="102"/>
      <c r="L234" s="79"/>
      <c r="M234" s="79">
        <v>17</v>
      </c>
      <c r="N234" s="79"/>
      <c r="O234" s="79"/>
      <c r="P234" s="79"/>
      <c r="Q234" s="79"/>
      <c r="R234" s="79"/>
      <c r="S234" s="79"/>
      <c r="T234" s="79"/>
      <c r="U234" s="79"/>
      <c r="V234" s="79"/>
      <c r="W234" s="79"/>
    </row>
    <row r="235" spans="1:23">
      <c r="A235" s="320" t="s">
        <v>1534</v>
      </c>
      <c r="B235" s="318" t="s">
        <v>1233</v>
      </c>
      <c r="C235" s="332"/>
      <c r="D235" s="300" t="s">
        <v>1021</v>
      </c>
      <c r="E235" s="335" t="s">
        <v>92</v>
      </c>
      <c r="F235" s="335" t="s">
        <v>83</v>
      </c>
      <c r="G235" s="318">
        <v>1710421050</v>
      </c>
      <c r="H235" s="298">
        <v>200</v>
      </c>
      <c r="I235" s="762"/>
      <c r="J235" s="332"/>
      <c r="K235" s="102"/>
      <c r="L235" s="79">
        <v>393.7</v>
      </c>
      <c r="M235" s="79">
        <v>398</v>
      </c>
      <c r="N235" s="79">
        <v>395.6</v>
      </c>
      <c r="O235" s="79"/>
      <c r="P235" s="79"/>
      <c r="Q235" s="79"/>
      <c r="R235" s="79"/>
      <c r="S235" s="79"/>
      <c r="T235" s="79"/>
      <c r="U235" s="79"/>
      <c r="V235" s="79"/>
      <c r="W235" s="79"/>
    </row>
    <row r="236" spans="1:23">
      <c r="A236" s="505" t="s">
        <v>88</v>
      </c>
      <c r="B236" s="505"/>
      <c r="C236" s="505"/>
      <c r="D236" s="505"/>
      <c r="E236" s="505"/>
      <c r="F236" s="505"/>
      <c r="G236" s="505"/>
      <c r="H236" s="505"/>
      <c r="I236" s="505"/>
      <c r="J236" s="505"/>
      <c r="K236" s="505"/>
      <c r="L236" s="319">
        <f t="shared" ref="L236:W236" si="109">SUM(L237,L240,L260)</f>
        <v>25155.200000000004</v>
      </c>
      <c r="M236" s="319">
        <f t="shared" si="109"/>
        <v>47442.700000000004</v>
      </c>
      <c r="N236" s="319">
        <f t="shared" si="109"/>
        <v>21990.5</v>
      </c>
      <c r="O236" s="319">
        <f t="shared" si="109"/>
        <v>19122.2</v>
      </c>
      <c r="P236" s="319">
        <f t="shared" si="109"/>
        <v>19122.2</v>
      </c>
      <c r="Q236" s="319">
        <f t="shared" si="109"/>
        <v>0</v>
      </c>
      <c r="R236" s="319">
        <f t="shared" si="109"/>
        <v>18945.199999999997</v>
      </c>
      <c r="S236" s="319">
        <f t="shared" si="109"/>
        <v>18945.199999999997</v>
      </c>
      <c r="T236" s="319">
        <f t="shared" si="109"/>
        <v>0</v>
      </c>
      <c r="U236" s="319">
        <f t="shared" si="109"/>
        <v>19135.600000000002</v>
      </c>
      <c r="V236" s="319">
        <f t="shared" si="109"/>
        <v>19135.600000000002</v>
      </c>
      <c r="W236" s="319">
        <f t="shared" si="109"/>
        <v>0</v>
      </c>
    </row>
    <row r="237" spans="1:23">
      <c r="A237" s="641" t="s">
        <v>12</v>
      </c>
      <c r="B237" s="770" t="s">
        <v>58</v>
      </c>
      <c r="C237" s="324"/>
      <c r="D237" s="324"/>
      <c r="E237" s="770"/>
      <c r="F237" s="770"/>
      <c r="G237" s="770"/>
      <c r="H237" s="771">
        <v>100</v>
      </c>
      <c r="I237" s="772"/>
      <c r="J237" s="324"/>
      <c r="K237" s="324"/>
      <c r="L237" s="316">
        <f t="shared" ref="L237:W237" si="110">SUM(L238:L239)</f>
        <v>11193.400000000001</v>
      </c>
      <c r="M237" s="316">
        <f t="shared" si="110"/>
        <v>11151.7</v>
      </c>
      <c r="N237" s="316">
        <f t="shared" si="110"/>
        <v>6837.7</v>
      </c>
      <c r="O237" s="316">
        <f t="shared" si="110"/>
        <v>12143.900000000001</v>
      </c>
      <c r="P237" s="316">
        <f t="shared" si="110"/>
        <v>12143.900000000001</v>
      </c>
      <c r="Q237" s="316">
        <f t="shared" si="110"/>
        <v>0</v>
      </c>
      <c r="R237" s="316">
        <f t="shared" si="110"/>
        <v>12031.5</v>
      </c>
      <c r="S237" s="316">
        <f t="shared" si="110"/>
        <v>12031.5</v>
      </c>
      <c r="T237" s="316">
        <f t="shared" si="110"/>
        <v>0</v>
      </c>
      <c r="U237" s="316">
        <f t="shared" si="110"/>
        <v>12152.599999999999</v>
      </c>
      <c r="V237" s="316">
        <f t="shared" si="110"/>
        <v>12152.599999999999</v>
      </c>
      <c r="W237" s="316">
        <f t="shared" si="110"/>
        <v>0</v>
      </c>
    </row>
    <row r="238" spans="1:23" ht="127.5">
      <c r="A238" s="320" t="s">
        <v>48</v>
      </c>
      <c r="B238" s="318" t="s">
        <v>310</v>
      </c>
      <c r="C238" s="300" t="s">
        <v>988</v>
      </c>
      <c r="D238" s="300" t="s">
        <v>403</v>
      </c>
      <c r="E238" s="335" t="s">
        <v>95</v>
      </c>
      <c r="F238" s="335">
        <v>10</v>
      </c>
      <c r="G238" s="335">
        <v>2020100590</v>
      </c>
      <c r="H238" s="300">
        <v>100</v>
      </c>
      <c r="I238" s="763" t="s">
        <v>116</v>
      </c>
      <c r="J238" s="300" t="s">
        <v>363</v>
      </c>
      <c r="K238" s="332"/>
      <c r="L238" s="79">
        <v>6491.1</v>
      </c>
      <c r="M238" s="79">
        <v>6108</v>
      </c>
      <c r="N238" s="79">
        <v>4003.5</v>
      </c>
      <c r="O238" s="79">
        <f>SUM(P238:Q238)</f>
        <v>7048.6</v>
      </c>
      <c r="P238" s="79">
        <v>7048.6</v>
      </c>
      <c r="Q238" s="79"/>
      <c r="R238" s="79">
        <f>SUM(S238:T238)</f>
        <v>6983.3</v>
      </c>
      <c r="S238" s="79">
        <v>6983.3</v>
      </c>
      <c r="T238" s="79"/>
      <c r="U238" s="79">
        <f>SUM(V238:W238)</f>
        <v>7053.7</v>
      </c>
      <c r="V238" s="79">
        <v>7053.7</v>
      </c>
      <c r="W238" s="79"/>
    </row>
    <row r="239" spans="1:23" ht="112.5">
      <c r="A239" s="320" t="s">
        <v>65</v>
      </c>
      <c r="B239" s="318" t="s">
        <v>1243</v>
      </c>
      <c r="C239" s="332" t="s">
        <v>988</v>
      </c>
      <c r="D239" s="300" t="s">
        <v>393</v>
      </c>
      <c r="E239" s="335" t="s">
        <v>98</v>
      </c>
      <c r="F239" s="335" t="s">
        <v>98</v>
      </c>
      <c r="G239" s="335" t="s">
        <v>100</v>
      </c>
      <c r="H239" s="298">
        <v>100</v>
      </c>
      <c r="I239" s="101" t="s">
        <v>118</v>
      </c>
      <c r="J239" s="332" t="s">
        <v>364</v>
      </c>
      <c r="K239" s="332"/>
      <c r="L239" s="79">
        <v>4702.3</v>
      </c>
      <c r="M239" s="79">
        <v>5043.7</v>
      </c>
      <c r="N239" s="79">
        <v>2834.2</v>
      </c>
      <c r="O239" s="79">
        <f>SUM(P239:Q239)</f>
        <v>5095.3</v>
      </c>
      <c r="P239" s="79">
        <v>5095.3</v>
      </c>
      <c r="Q239" s="79"/>
      <c r="R239" s="79">
        <f>SUM(S239:T239)</f>
        <v>5048.2</v>
      </c>
      <c r="S239" s="79">
        <v>5048.2</v>
      </c>
      <c r="T239" s="79"/>
      <c r="U239" s="79">
        <f>SUM(V239:W239)</f>
        <v>5098.8999999999996</v>
      </c>
      <c r="V239" s="79">
        <v>5098.8999999999996</v>
      </c>
      <c r="W239" s="79"/>
    </row>
    <row r="240" spans="1:23" ht="37.5">
      <c r="A240" s="641" t="s">
        <v>13</v>
      </c>
      <c r="B240" s="770" t="s">
        <v>32</v>
      </c>
      <c r="C240" s="772"/>
      <c r="D240" s="773"/>
      <c r="E240" s="770"/>
      <c r="F240" s="770"/>
      <c r="G240" s="770"/>
      <c r="H240" s="771">
        <v>200</v>
      </c>
      <c r="I240" s="772"/>
      <c r="J240" s="772"/>
      <c r="K240" s="773"/>
      <c r="L240" s="316">
        <f t="shared" ref="L240:W240" si="111">SUM(L241:L259)</f>
        <v>13912.900000000001</v>
      </c>
      <c r="M240" s="316">
        <f t="shared" si="111"/>
        <v>36227.4</v>
      </c>
      <c r="N240" s="316">
        <f t="shared" si="111"/>
        <v>15107.6</v>
      </c>
      <c r="O240" s="316">
        <f t="shared" si="111"/>
        <v>6918.6</v>
      </c>
      <c r="P240" s="316">
        <f t="shared" si="111"/>
        <v>6918.6</v>
      </c>
      <c r="Q240" s="316">
        <f t="shared" si="111"/>
        <v>0</v>
      </c>
      <c r="R240" s="316">
        <f t="shared" si="111"/>
        <v>6854.5999999999995</v>
      </c>
      <c r="S240" s="316">
        <f t="shared" si="111"/>
        <v>6854.5999999999995</v>
      </c>
      <c r="T240" s="316">
        <f t="shared" si="111"/>
        <v>0</v>
      </c>
      <c r="U240" s="316">
        <f t="shared" si="111"/>
        <v>6923.300000000002</v>
      </c>
      <c r="V240" s="316">
        <f t="shared" si="111"/>
        <v>6923.300000000002</v>
      </c>
      <c r="W240" s="316">
        <f t="shared" si="111"/>
        <v>0</v>
      </c>
    </row>
    <row r="241" spans="1:23" ht="243.75">
      <c r="A241" s="320" t="s">
        <v>49</v>
      </c>
      <c r="B241" s="318" t="s">
        <v>1244</v>
      </c>
      <c r="C241" s="300" t="s">
        <v>130</v>
      </c>
      <c r="D241" s="300" t="s">
        <v>403</v>
      </c>
      <c r="E241" s="335" t="s">
        <v>95</v>
      </c>
      <c r="F241" s="335" t="s">
        <v>80</v>
      </c>
      <c r="G241" s="335" t="s">
        <v>96</v>
      </c>
      <c r="H241" s="298">
        <v>200</v>
      </c>
      <c r="I241" s="300" t="s">
        <v>116</v>
      </c>
      <c r="J241" s="596"/>
      <c r="K241" s="102"/>
      <c r="L241" s="79">
        <v>1643.5</v>
      </c>
      <c r="M241" s="79">
        <v>1426.5</v>
      </c>
      <c r="N241" s="79">
        <v>1006.6</v>
      </c>
      <c r="O241" s="79">
        <f>SUM(P241:Q241)</f>
        <v>1352.1</v>
      </c>
      <c r="P241" s="79">
        <v>1352.1</v>
      </c>
      <c r="Q241" s="79"/>
      <c r="R241" s="79">
        <f>SUM(S241:T241)</f>
        <v>1339.5</v>
      </c>
      <c r="S241" s="79">
        <v>1339.5</v>
      </c>
      <c r="T241" s="79"/>
      <c r="U241" s="79">
        <f>SUM(V241:W241)</f>
        <v>1352.9</v>
      </c>
      <c r="V241" s="79">
        <v>1352.9</v>
      </c>
      <c r="W241" s="79"/>
    </row>
    <row r="242" spans="1:23" ht="243.75">
      <c r="A242" s="320" t="s">
        <v>70</v>
      </c>
      <c r="B242" s="318" t="s">
        <v>1244</v>
      </c>
      <c r="C242" s="300" t="s">
        <v>117</v>
      </c>
      <c r="D242" s="300" t="s">
        <v>403</v>
      </c>
      <c r="E242" s="335" t="s">
        <v>95</v>
      </c>
      <c r="F242" s="335" t="s">
        <v>80</v>
      </c>
      <c r="G242" s="335" t="s">
        <v>184</v>
      </c>
      <c r="H242" s="298">
        <v>200</v>
      </c>
      <c r="I242" s="300" t="s">
        <v>116</v>
      </c>
      <c r="J242" s="332"/>
      <c r="K242" s="332"/>
      <c r="L242" s="79">
        <v>672.7</v>
      </c>
      <c r="M242" s="79">
        <v>750.6</v>
      </c>
      <c r="N242" s="79">
        <v>36.4</v>
      </c>
      <c r="O242" s="79">
        <f t="shared" ref="O242:O262" si="112">SUM(P242:Q242)</f>
        <v>705.3</v>
      </c>
      <c r="P242" s="79">
        <v>705.3</v>
      </c>
      <c r="Q242" s="79"/>
      <c r="R242" s="79">
        <f t="shared" ref="R242:R262" si="113">SUM(S242:T242)</f>
        <v>698.8</v>
      </c>
      <c r="S242" s="79">
        <v>698.8</v>
      </c>
      <c r="T242" s="79"/>
      <c r="U242" s="79">
        <f t="shared" ref="U242:U262" si="114">SUM(V242:W242)</f>
        <v>705.8</v>
      </c>
      <c r="V242" s="79">
        <v>705.8</v>
      </c>
      <c r="W242" s="79"/>
    </row>
    <row r="243" spans="1:23" ht="187.5">
      <c r="A243" s="320" t="s">
        <v>71</v>
      </c>
      <c r="B243" s="318" t="s">
        <v>246</v>
      </c>
      <c r="C243" s="300" t="s">
        <v>365</v>
      </c>
      <c r="D243" s="300" t="s">
        <v>394</v>
      </c>
      <c r="E243" s="335" t="s">
        <v>93</v>
      </c>
      <c r="F243" s="335" t="s">
        <v>97</v>
      </c>
      <c r="G243" s="335" t="s">
        <v>185</v>
      </c>
      <c r="H243" s="298">
        <v>200</v>
      </c>
      <c r="I243" s="300" t="s">
        <v>118</v>
      </c>
      <c r="J243" s="332" t="s">
        <v>366</v>
      </c>
      <c r="K243" s="102"/>
      <c r="L243" s="79">
        <v>689.6</v>
      </c>
      <c r="M243" s="79">
        <v>743.3</v>
      </c>
      <c r="N243" s="79">
        <v>743.2</v>
      </c>
      <c r="O243" s="79">
        <f t="shared" si="112"/>
        <v>702.5</v>
      </c>
      <c r="P243" s="79">
        <v>702.5</v>
      </c>
      <c r="Q243" s="79">
        <f>SUM(Q244:Q245)</f>
        <v>0</v>
      </c>
      <c r="R243" s="79">
        <f t="shared" si="113"/>
        <v>696</v>
      </c>
      <c r="S243" s="79">
        <v>696</v>
      </c>
      <c r="T243" s="79">
        <f>SUM(T244:T245)</f>
        <v>0</v>
      </c>
      <c r="U243" s="79">
        <f t="shared" si="114"/>
        <v>703</v>
      </c>
      <c r="V243" s="79">
        <v>703</v>
      </c>
      <c r="W243" s="79">
        <f>SUM(W244:W245)</f>
        <v>0</v>
      </c>
    </row>
    <row r="244" spans="1:23" ht="187.5">
      <c r="A244" s="320" t="s">
        <v>1245</v>
      </c>
      <c r="B244" s="318" t="s">
        <v>246</v>
      </c>
      <c r="C244" s="300" t="s">
        <v>1248</v>
      </c>
      <c r="D244" s="300" t="s">
        <v>394</v>
      </c>
      <c r="E244" s="335" t="s">
        <v>93</v>
      </c>
      <c r="F244" s="335" t="s">
        <v>97</v>
      </c>
      <c r="G244" s="318" t="s">
        <v>123</v>
      </c>
      <c r="H244" s="298">
        <v>200</v>
      </c>
      <c r="I244" s="102" t="s">
        <v>118</v>
      </c>
      <c r="J244" s="332" t="s">
        <v>366</v>
      </c>
      <c r="K244" s="332"/>
      <c r="L244" s="79">
        <v>3145.6</v>
      </c>
      <c r="M244" s="79">
        <v>8551.2000000000007</v>
      </c>
      <c r="N244" s="79">
        <v>6874.5</v>
      </c>
      <c r="O244" s="79">
        <f t="shared" si="112"/>
        <v>0</v>
      </c>
      <c r="P244" s="79"/>
      <c r="Q244" s="79"/>
      <c r="R244" s="79">
        <f t="shared" si="113"/>
        <v>0</v>
      </c>
      <c r="S244" s="79"/>
      <c r="T244" s="79"/>
      <c r="U244" s="79">
        <f t="shared" si="114"/>
        <v>0</v>
      </c>
      <c r="V244" s="79"/>
      <c r="W244" s="79"/>
    </row>
    <row r="245" spans="1:23" ht="225">
      <c r="A245" s="320" t="s">
        <v>268</v>
      </c>
      <c r="B245" s="318" t="s">
        <v>246</v>
      </c>
      <c r="C245" s="300" t="s">
        <v>1249</v>
      </c>
      <c r="D245" s="300" t="s">
        <v>394</v>
      </c>
      <c r="E245" s="335" t="s">
        <v>93</v>
      </c>
      <c r="F245" s="335" t="s">
        <v>97</v>
      </c>
      <c r="G245" s="335" t="s">
        <v>1178</v>
      </c>
      <c r="H245" s="298">
        <v>200</v>
      </c>
      <c r="I245" s="102" t="s">
        <v>118</v>
      </c>
      <c r="J245" s="596"/>
      <c r="K245" s="332"/>
      <c r="L245" s="79"/>
      <c r="M245" s="79">
        <v>16449.5</v>
      </c>
      <c r="N245" s="79">
        <v>3540.1</v>
      </c>
      <c r="O245" s="79">
        <f t="shared" si="112"/>
        <v>0</v>
      </c>
      <c r="P245" s="79"/>
      <c r="Q245" s="79"/>
      <c r="R245" s="79">
        <f t="shared" si="113"/>
        <v>0</v>
      </c>
      <c r="S245" s="79"/>
      <c r="T245" s="79"/>
      <c r="U245" s="79">
        <f t="shared" si="114"/>
        <v>0</v>
      </c>
      <c r="V245" s="79"/>
      <c r="W245" s="79"/>
    </row>
    <row r="246" spans="1:23" ht="187.5">
      <c r="A246" s="320" t="s">
        <v>269</v>
      </c>
      <c r="B246" s="318" t="s">
        <v>246</v>
      </c>
      <c r="C246" s="300" t="s">
        <v>1016</v>
      </c>
      <c r="D246" s="300" t="s">
        <v>394</v>
      </c>
      <c r="E246" s="335" t="s">
        <v>93</v>
      </c>
      <c r="F246" s="335" t="s">
        <v>97</v>
      </c>
      <c r="G246" s="335" t="s">
        <v>108</v>
      </c>
      <c r="H246" s="298">
        <v>200</v>
      </c>
      <c r="I246" s="300" t="s">
        <v>118</v>
      </c>
      <c r="J246" s="332" t="s">
        <v>366</v>
      </c>
      <c r="K246" s="332"/>
      <c r="L246" s="79">
        <v>744.4</v>
      </c>
      <c r="M246" s="79">
        <v>40</v>
      </c>
      <c r="N246" s="79">
        <v>40</v>
      </c>
      <c r="O246" s="79">
        <f t="shared" si="112"/>
        <v>0</v>
      </c>
      <c r="P246" s="79"/>
      <c r="Q246" s="79"/>
      <c r="R246" s="79">
        <f t="shared" si="113"/>
        <v>0</v>
      </c>
      <c r="S246" s="79"/>
      <c r="T246" s="79"/>
      <c r="U246" s="79">
        <f t="shared" si="114"/>
        <v>0</v>
      </c>
      <c r="V246" s="79"/>
      <c r="W246" s="79"/>
    </row>
    <row r="247" spans="1:23" ht="187.5">
      <c r="A247" s="320" t="s">
        <v>270</v>
      </c>
      <c r="B247" s="318" t="s">
        <v>299</v>
      </c>
      <c r="C247" s="332" t="s">
        <v>120</v>
      </c>
      <c r="D247" s="300" t="s">
        <v>395</v>
      </c>
      <c r="E247" s="335" t="s">
        <v>98</v>
      </c>
      <c r="F247" s="335" t="s">
        <v>95</v>
      </c>
      <c r="G247" s="335" t="s">
        <v>186</v>
      </c>
      <c r="H247" s="298">
        <v>200</v>
      </c>
      <c r="I247" s="102" t="s">
        <v>118</v>
      </c>
      <c r="J247" s="332" t="s">
        <v>366</v>
      </c>
      <c r="K247" s="332"/>
      <c r="L247" s="79">
        <v>3298</v>
      </c>
      <c r="M247" s="79">
        <v>3495.2</v>
      </c>
      <c r="N247" s="79">
        <v>1850.5</v>
      </c>
      <c r="O247" s="79">
        <f t="shared" si="112"/>
        <v>3159.6</v>
      </c>
      <c r="P247" s="79">
        <v>3159.6</v>
      </c>
      <c r="Q247" s="79"/>
      <c r="R247" s="79">
        <f t="shared" si="113"/>
        <v>3130.3</v>
      </c>
      <c r="S247" s="79">
        <v>3130.3</v>
      </c>
      <c r="T247" s="79"/>
      <c r="U247" s="79">
        <f t="shared" si="114"/>
        <v>3161.9</v>
      </c>
      <c r="V247" s="79">
        <v>3161.9</v>
      </c>
      <c r="W247" s="79"/>
    </row>
    <row r="248" spans="1:23" ht="187.5">
      <c r="A248" s="320" t="s">
        <v>282</v>
      </c>
      <c r="B248" s="318" t="s">
        <v>1251</v>
      </c>
      <c r="C248" s="332" t="s">
        <v>1252</v>
      </c>
      <c r="D248" s="300" t="s">
        <v>395</v>
      </c>
      <c r="E248" s="335" t="s">
        <v>98</v>
      </c>
      <c r="F248" s="335" t="s">
        <v>95</v>
      </c>
      <c r="G248" s="335" t="s">
        <v>225</v>
      </c>
      <c r="H248" s="298">
        <v>200</v>
      </c>
      <c r="I248" s="102" t="s">
        <v>118</v>
      </c>
      <c r="J248" s="332" t="s">
        <v>366</v>
      </c>
      <c r="K248" s="332"/>
      <c r="L248" s="79">
        <v>208.1</v>
      </c>
      <c r="M248" s="79">
        <v>197.7</v>
      </c>
      <c r="N248" s="79">
        <v>133.80000000000001</v>
      </c>
      <c r="O248" s="79">
        <f t="shared" si="112"/>
        <v>186.2</v>
      </c>
      <c r="P248" s="79">
        <v>186.2</v>
      </c>
      <c r="Q248" s="79"/>
      <c r="R248" s="79">
        <f t="shared" si="113"/>
        <v>184.5</v>
      </c>
      <c r="S248" s="79">
        <v>184.5</v>
      </c>
      <c r="T248" s="79"/>
      <c r="U248" s="79">
        <f t="shared" si="114"/>
        <v>186.3</v>
      </c>
      <c r="V248" s="79">
        <v>186.3</v>
      </c>
      <c r="W248" s="79"/>
    </row>
    <row r="249" spans="1:23" ht="187.5">
      <c r="A249" s="320" t="s">
        <v>283</v>
      </c>
      <c r="B249" s="318" t="s">
        <v>251</v>
      </c>
      <c r="C249" s="318" t="s">
        <v>1253</v>
      </c>
      <c r="D249" s="300" t="s">
        <v>395</v>
      </c>
      <c r="E249" s="335" t="s">
        <v>98</v>
      </c>
      <c r="F249" s="335" t="s">
        <v>95</v>
      </c>
      <c r="G249" s="335" t="s">
        <v>126</v>
      </c>
      <c r="H249" s="298">
        <v>200</v>
      </c>
      <c r="I249" s="318" t="s">
        <v>118</v>
      </c>
      <c r="J249" s="332" t="s">
        <v>366</v>
      </c>
      <c r="K249" s="332"/>
      <c r="L249" s="79">
        <v>144</v>
      </c>
      <c r="M249" s="79">
        <v>125.4</v>
      </c>
      <c r="N249" s="79">
        <v>44.4</v>
      </c>
      <c r="O249" s="79">
        <f t="shared" si="112"/>
        <v>118</v>
      </c>
      <c r="P249" s="79">
        <v>118</v>
      </c>
      <c r="Q249" s="79"/>
      <c r="R249" s="79">
        <f t="shared" si="113"/>
        <v>116.9</v>
      </c>
      <c r="S249" s="79">
        <v>116.9</v>
      </c>
      <c r="T249" s="79"/>
      <c r="U249" s="79">
        <f t="shared" si="114"/>
        <v>118.1</v>
      </c>
      <c r="V249" s="79">
        <v>118.1</v>
      </c>
      <c r="W249" s="79"/>
    </row>
    <row r="250" spans="1:23" ht="206.25">
      <c r="A250" s="320" t="s">
        <v>278</v>
      </c>
      <c r="B250" s="318" t="s">
        <v>265</v>
      </c>
      <c r="C250" s="318" t="s">
        <v>1535</v>
      </c>
      <c r="D250" s="300" t="s">
        <v>395</v>
      </c>
      <c r="E250" s="335" t="s">
        <v>98</v>
      </c>
      <c r="F250" s="335" t="s">
        <v>95</v>
      </c>
      <c r="G250" s="335" t="s">
        <v>226</v>
      </c>
      <c r="H250" s="298">
        <v>200</v>
      </c>
      <c r="I250" s="764"/>
      <c r="J250" s="764"/>
      <c r="K250" s="332"/>
      <c r="L250" s="79">
        <v>16</v>
      </c>
      <c r="M250" s="79">
        <v>15.2</v>
      </c>
      <c r="N250" s="79">
        <v>15.2</v>
      </c>
      <c r="O250" s="79">
        <f t="shared" si="112"/>
        <v>13.3</v>
      </c>
      <c r="P250" s="79">
        <v>13.3</v>
      </c>
      <c r="Q250" s="79"/>
      <c r="R250" s="79">
        <f t="shared" si="113"/>
        <v>13.2</v>
      </c>
      <c r="S250" s="79">
        <v>13.2</v>
      </c>
      <c r="T250" s="79"/>
      <c r="U250" s="79">
        <f t="shared" si="114"/>
        <v>13.3</v>
      </c>
      <c r="V250" s="79">
        <v>13.3</v>
      </c>
      <c r="W250" s="79"/>
    </row>
    <row r="251" spans="1:23" ht="187.5">
      <c r="A251" s="320" t="s">
        <v>287</v>
      </c>
      <c r="B251" s="318" t="s">
        <v>1254</v>
      </c>
      <c r="C251" s="765" t="s">
        <v>99</v>
      </c>
      <c r="D251" s="300" t="s">
        <v>396</v>
      </c>
      <c r="E251" s="335" t="s">
        <v>98</v>
      </c>
      <c r="F251" s="335" t="s">
        <v>95</v>
      </c>
      <c r="G251" s="335" t="s">
        <v>121</v>
      </c>
      <c r="H251" s="298">
        <v>200</v>
      </c>
      <c r="I251" s="102" t="s">
        <v>118</v>
      </c>
      <c r="J251" s="332" t="s">
        <v>366</v>
      </c>
      <c r="K251" s="332"/>
      <c r="L251" s="79"/>
      <c r="M251" s="79">
        <v>15.2</v>
      </c>
      <c r="N251" s="79"/>
      <c r="O251" s="79">
        <f t="shared" si="112"/>
        <v>199.5</v>
      </c>
      <c r="P251" s="79">
        <v>199.5</v>
      </c>
      <c r="Q251" s="79"/>
      <c r="R251" s="79">
        <f t="shared" si="113"/>
        <v>197.7</v>
      </c>
      <c r="S251" s="79">
        <v>197.7</v>
      </c>
      <c r="T251" s="79"/>
      <c r="U251" s="79">
        <f t="shared" si="114"/>
        <v>199.6</v>
      </c>
      <c r="V251" s="79">
        <v>199.6</v>
      </c>
      <c r="W251" s="79"/>
    </row>
    <row r="252" spans="1:23" ht="187.5">
      <c r="A252" s="320" t="s">
        <v>288</v>
      </c>
      <c r="B252" s="318" t="s">
        <v>1255</v>
      </c>
      <c r="C252" s="332" t="s">
        <v>112</v>
      </c>
      <c r="D252" s="300" t="s">
        <v>395</v>
      </c>
      <c r="E252" s="335" t="s">
        <v>98</v>
      </c>
      <c r="F252" s="335" t="s">
        <v>95</v>
      </c>
      <c r="G252" s="335" t="s">
        <v>178</v>
      </c>
      <c r="H252" s="298">
        <v>200</v>
      </c>
      <c r="I252" s="102" t="s">
        <v>118</v>
      </c>
      <c r="J252" s="332" t="s">
        <v>366</v>
      </c>
      <c r="K252" s="332"/>
      <c r="L252" s="79">
        <v>290.2</v>
      </c>
      <c r="M252" s="79">
        <v>391.2</v>
      </c>
      <c r="N252" s="79">
        <v>163.1</v>
      </c>
      <c r="O252" s="79">
        <f t="shared" si="112"/>
        <v>175.6</v>
      </c>
      <c r="P252" s="79">
        <v>175.6</v>
      </c>
      <c r="Q252" s="79"/>
      <c r="R252" s="79">
        <f t="shared" si="113"/>
        <v>174</v>
      </c>
      <c r="S252" s="79">
        <v>174</v>
      </c>
      <c r="T252" s="79"/>
      <c r="U252" s="79">
        <f t="shared" si="114"/>
        <v>175.8</v>
      </c>
      <c r="V252" s="79">
        <v>175.8</v>
      </c>
      <c r="W252" s="79"/>
    </row>
    <row r="253" spans="1:23" ht="56.25">
      <c r="A253" s="320" t="s">
        <v>297</v>
      </c>
      <c r="B253" s="318" t="s">
        <v>265</v>
      </c>
      <c r="C253" s="318"/>
      <c r="D253" s="300" t="s">
        <v>395</v>
      </c>
      <c r="E253" s="335" t="s">
        <v>98</v>
      </c>
      <c r="F253" s="335" t="s">
        <v>95</v>
      </c>
      <c r="G253" s="335" t="s">
        <v>1010</v>
      </c>
      <c r="H253" s="298">
        <v>200</v>
      </c>
      <c r="I253" s="764"/>
      <c r="J253" s="764"/>
      <c r="K253" s="332"/>
      <c r="L253" s="79">
        <v>387.2</v>
      </c>
      <c r="M253" s="79">
        <v>1204.4000000000001</v>
      </c>
      <c r="N253" s="79"/>
      <c r="O253" s="79">
        <f t="shared" si="112"/>
        <v>0</v>
      </c>
      <c r="P253" s="79"/>
      <c r="Q253" s="79"/>
      <c r="R253" s="79">
        <f t="shared" si="113"/>
        <v>0</v>
      </c>
      <c r="S253" s="79"/>
      <c r="T253" s="79"/>
      <c r="U253" s="79">
        <f t="shared" si="114"/>
        <v>0</v>
      </c>
      <c r="V253" s="79"/>
      <c r="W253" s="79"/>
    </row>
    <row r="254" spans="1:23" ht="93.75">
      <c r="A254" s="320" t="s">
        <v>298</v>
      </c>
      <c r="B254" s="318" t="s">
        <v>1238</v>
      </c>
      <c r="C254" s="332" t="s">
        <v>1536</v>
      </c>
      <c r="D254" s="300" t="s">
        <v>395</v>
      </c>
      <c r="E254" s="335" t="s">
        <v>98</v>
      </c>
      <c r="F254" s="335" t="s">
        <v>95</v>
      </c>
      <c r="G254" s="335" t="s">
        <v>194</v>
      </c>
      <c r="H254" s="298">
        <v>200</v>
      </c>
      <c r="I254" s="764"/>
      <c r="J254" s="764"/>
      <c r="K254" s="332"/>
      <c r="L254" s="79"/>
      <c r="M254" s="79">
        <v>451.3</v>
      </c>
      <c r="N254" s="79"/>
      <c r="O254" s="79">
        <f t="shared" si="112"/>
        <v>0</v>
      </c>
      <c r="P254" s="79"/>
      <c r="Q254" s="79"/>
      <c r="R254" s="79">
        <f t="shared" si="113"/>
        <v>0</v>
      </c>
      <c r="S254" s="79"/>
      <c r="T254" s="79"/>
      <c r="U254" s="79">
        <f t="shared" si="114"/>
        <v>0</v>
      </c>
      <c r="V254" s="79"/>
      <c r="W254" s="79"/>
    </row>
    <row r="255" spans="1:23" ht="300">
      <c r="A255" s="320" t="s">
        <v>289</v>
      </c>
      <c r="B255" s="318" t="s">
        <v>302</v>
      </c>
      <c r="C255" s="332" t="s">
        <v>303</v>
      </c>
      <c r="D255" s="300" t="s">
        <v>395</v>
      </c>
      <c r="E255" s="335" t="s">
        <v>98</v>
      </c>
      <c r="F255" s="335" t="s">
        <v>95</v>
      </c>
      <c r="G255" s="335" t="s">
        <v>256</v>
      </c>
      <c r="H255" s="298">
        <v>200</v>
      </c>
      <c r="I255" s="764"/>
      <c r="J255" s="764"/>
      <c r="K255" s="332"/>
      <c r="L255" s="79"/>
      <c r="M255" s="79">
        <v>142</v>
      </c>
      <c r="N255" s="79"/>
      <c r="O255" s="79">
        <f t="shared" si="112"/>
        <v>0</v>
      </c>
      <c r="P255" s="79"/>
      <c r="Q255" s="79"/>
      <c r="R255" s="79">
        <f t="shared" si="113"/>
        <v>0</v>
      </c>
      <c r="S255" s="79"/>
      <c r="T255" s="79"/>
      <c r="U255" s="79">
        <f t="shared" si="114"/>
        <v>0</v>
      </c>
      <c r="V255" s="79"/>
      <c r="W255" s="79"/>
    </row>
    <row r="256" spans="1:23" ht="187.5">
      <c r="A256" s="320" t="s">
        <v>1257</v>
      </c>
      <c r="B256" s="318" t="s">
        <v>254</v>
      </c>
      <c r="C256" s="765" t="s">
        <v>1256</v>
      </c>
      <c r="D256" s="300" t="s">
        <v>395</v>
      </c>
      <c r="E256" s="335" t="s">
        <v>98</v>
      </c>
      <c r="F256" s="335" t="s">
        <v>95</v>
      </c>
      <c r="G256" s="318" t="s">
        <v>380</v>
      </c>
      <c r="H256" s="298">
        <v>200</v>
      </c>
      <c r="I256" s="102" t="s">
        <v>118</v>
      </c>
      <c r="J256" s="332" t="s">
        <v>366</v>
      </c>
      <c r="K256" s="332"/>
      <c r="L256" s="79">
        <v>2317.4</v>
      </c>
      <c r="M256" s="79">
        <v>330.7</v>
      </c>
      <c r="N256" s="79">
        <v>296.39999999999998</v>
      </c>
      <c r="O256" s="79">
        <f t="shared" si="112"/>
        <v>0</v>
      </c>
      <c r="P256" s="79"/>
      <c r="Q256" s="79"/>
      <c r="R256" s="79">
        <f t="shared" si="113"/>
        <v>0</v>
      </c>
      <c r="S256" s="79"/>
      <c r="T256" s="79"/>
      <c r="U256" s="79">
        <f t="shared" si="114"/>
        <v>0</v>
      </c>
      <c r="V256" s="79"/>
      <c r="W256" s="79"/>
    </row>
    <row r="257" spans="1:23" ht="37.5">
      <c r="A257" s="320" t="s">
        <v>1537</v>
      </c>
      <c r="B257" s="318" t="s">
        <v>1250</v>
      </c>
      <c r="C257" s="332"/>
      <c r="D257" s="300" t="s">
        <v>1021</v>
      </c>
      <c r="E257" s="335" t="s">
        <v>98</v>
      </c>
      <c r="F257" s="335" t="s">
        <v>95</v>
      </c>
      <c r="G257" s="335" t="s">
        <v>124</v>
      </c>
      <c r="H257" s="298">
        <v>200</v>
      </c>
      <c r="I257" s="102"/>
      <c r="J257" s="332"/>
      <c r="K257" s="332"/>
      <c r="L257" s="79">
        <v>15</v>
      </c>
      <c r="M257" s="79"/>
      <c r="N257" s="79"/>
      <c r="O257" s="79"/>
      <c r="P257" s="79"/>
      <c r="Q257" s="79"/>
      <c r="R257" s="79"/>
      <c r="S257" s="79"/>
      <c r="T257" s="79"/>
      <c r="U257" s="79"/>
      <c r="V257" s="79"/>
      <c r="W257" s="79"/>
    </row>
    <row r="258" spans="1:23" ht="37.5">
      <c r="A258" s="320" t="s">
        <v>1538</v>
      </c>
      <c r="B258" s="318" t="s">
        <v>1539</v>
      </c>
      <c r="C258" s="333"/>
      <c r="D258" s="300" t="s">
        <v>395</v>
      </c>
      <c r="E258" s="335" t="s">
        <v>98</v>
      </c>
      <c r="F258" s="335" t="s">
        <v>95</v>
      </c>
      <c r="G258" s="335" t="s">
        <v>94</v>
      </c>
      <c r="H258" s="298">
        <v>200</v>
      </c>
      <c r="I258" s="764"/>
      <c r="J258" s="764"/>
      <c r="K258" s="332"/>
      <c r="L258" s="79"/>
      <c r="M258" s="79">
        <v>150</v>
      </c>
      <c r="N258" s="79">
        <v>150</v>
      </c>
      <c r="O258" s="79">
        <f t="shared" si="112"/>
        <v>0</v>
      </c>
      <c r="P258" s="79"/>
      <c r="Q258" s="79"/>
      <c r="R258" s="79">
        <f t="shared" si="113"/>
        <v>0</v>
      </c>
      <c r="S258" s="79"/>
      <c r="T258" s="79"/>
      <c r="U258" s="79">
        <f t="shared" si="114"/>
        <v>0</v>
      </c>
      <c r="V258" s="79"/>
      <c r="W258" s="79"/>
    </row>
    <row r="259" spans="1:23" ht="187.5">
      <c r="A259" s="320" t="s">
        <v>1540</v>
      </c>
      <c r="B259" s="318" t="s">
        <v>304</v>
      </c>
      <c r="C259" s="765" t="s">
        <v>113</v>
      </c>
      <c r="D259" s="300" t="s">
        <v>393</v>
      </c>
      <c r="E259" s="335" t="s">
        <v>98</v>
      </c>
      <c r="F259" s="335" t="s">
        <v>98</v>
      </c>
      <c r="G259" s="335" t="s">
        <v>100</v>
      </c>
      <c r="H259" s="298">
        <v>200</v>
      </c>
      <c r="I259" s="102" t="s">
        <v>118</v>
      </c>
      <c r="J259" s="332" t="s">
        <v>366</v>
      </c>
      <c r="K259" s="332"/>
      <c r="L259" s="79">
        <v>341.2</v>
      </c>
      <c r="M259" s="79">
        <v>1748</v>
      </c>
      <c r="N259" s="79">
        <v>213.4</v>
      </c>
      <c r="O259" s="79">
        <f t="shared" si="112"/>
        <v>306.5</v>
      </c>
      <c r="P259" s="79">
        <v>306.5</v>
      </c>
      <c r="Q259" s="79"/>
      <c r="R259" s="79">
        <f t="shared" si="113"/>
        <v>303.7</v>
      </c>
      <c r="S259" s="79">
        <v>303.7</v>
      </c>
      <c r="T259" s="79"/>
      <c r="U259" s="79">
        <f t="shared" si="114"/>
        <v>306.60000000000002</v>
      </c>
      <c r="V259" s="79">
        <v>306.60000000000002</v>
      </c>
      <c r="W259" s="79"/>
    </row>
    <row r="260" spans="1:23">
      <c r="A260" s="323" t="s">
        <v>50</v>
      </c>
      <c r="B260" s="770" t="s">
        <v>31</v>
      </c>
      <c r="C260" s="774"/>
      <c r="D260" s="324"/>
      <c r="E260" s="770"/>
      <c r="F260" s="770"/>
      <c r="G260" s="770"/>
      <c r="H260" s="771">
        <v>800</v>
      </c>
      <c r="I260" s="772"/>
      <c r="J260" s="774"/>
      <c r="K260" s="324"/>
      <c r="L260" s="316">
        <f t="shared" ref="L260:W260" si="115">SUM(L261:L262)</f>
        <v>48.9</v>
      </c>
      <c r="M260" s="316">
        <f t="shared" si="115"/>
        <v>63.6</v>
      </c>
      <c r="N260" s="316">
        <f t="shared" si="115"/>
        <v>45.199999999999996</v>
      </c>
      <c r="O260" s="316">
        <f t="shared" si="115"/>
        <v>59.7</v>
      </c>
      <c r="P260" s="316">
        <f t="shared" si="115"/>
        <v>59.7</v>
      </c>
      <c r="Q260" s="316">
        <f t="shared" si="115"/>
        <v>0</v>
      </c>
      <c r="R260" s="316">
        <f t="shared" si="115"/>
        <v>59.1</v>
      </c>
      <c r="S260" s="316">
        <f t="shared" si="115"/>
        <v>59.1</v>
      </c>
      <c r="T260" s="316">
        <f t="shared" si="115"/>
        <v>0</v>
      </c>
      <c r="U260" s="316">
        <f t="shared" si="115"/>
        <v>59.7</v>
      </c>
      <c r="V260" s="316">
        <f t="shared" si="115"/>
        <v>59.7</v>
      </c>
      <c r="W260" s="316">
        <f t="shared" si="115"/>
        <v>0</v>
      </c>
    </row>
    <row r="261" spans="1:23" ht="187.5">
      <c r="A261" s="327" t="s">
        <v>51</v>
      </c>
      <c r="B261" s="318" t="s">
        <v>1244</v>
      </c>
      <c r="C261" s="332" t="s">
        <v>104</v>
      </c>
      <c r="D261" s="300" t="s">
        <v>403</v>
      </c>
      <c r="E261" s="335" t="s">
        <v>95</v>
      </c>
      <c r="F261" s="318">
        <v>10</v>
      </c>
      <c r="G261" s="318">
        <v>2020100590</v>
      </c>
      <c r="H261" s="298">
        <v>800</v>
      </c>
      <c r="I261" s="102" t="s">
        <v>118</v>
      </c>
      <c r="J261" s="330"/>
      <c r="K261" s="332"/>
      <c r="L261" s="79">
        <v>10</v>
      </c>
      <c r="M261" s="79">
        <v>6.2</v>
      </c>
      <c r="N261" s="79">
        <v>4.9000000000000004</v>
      </c>
      <c r="O261" s="79">
        <f t="shared" si="112"/>
        <v>5.7</v>
      </c>
      <c r="P261" s="79">
        <v>5.7</v>
      </c>
      <c r="Q261" s="79"/>
      <c r="R261" s="79">
        <f t="shared" si="113"/>
        <v>5.6</v>
      </c>
      <c r="S261" s="79">
        <v>5.6</v>
      </c>
      <c r="T261" s="79"/>
      <c r="U261" s="79">
        <f t="shared" si="114"/>
        <v>5.7</v>
      </c>
      <c r="V261" s="79">
        <v>5.7</v>
      </c>
      <c r="W261" s="79"/>
    </row>
    <row r="262" spans="1:23" ht="187.5">
      <c r="A262" s="327" t="s">
        <v>72</v>
      </c>
      <c r="B262" s="318" t="s">
        <v>1258</v>
      </c>
      <c r="C262" s="332" t="s">
        <v>113</v>
      </c>
      <c r="D262" s="300" t="s">
        <v>393</v>
      </c>
      <c r="E262" s="335" t="s">
        <v>98</v>
      </c>
      <c r="F262" s="335" t="s">
        <v>98</v>
      </c>
      <c r="G262" s="335" t="s">
        <v>100</v>
      </c>
      <c r="H262" s="298">
        <v>800</v>
      </c>
      <c r="I262" s="102" t="s">
        <v>118</v>
      </c>
      <c r="J262" s="330"/>
      <c r="K262" s="332"/>
      <c r="L262" s="79">
        <v>38.9</v>
      </c>
      <c r="M262" s="79">
        <v>57.4</v>
      </c>
      <c r="N262" s="79">
        <v>40.299999999999997</v>
      </c>
      <c r="O262" s="79">
        <f t="shared" si="112"/>
        <v>54</v>
      </c>
      <c r="P262" s="79">
        <v>54</v>
      </c>
      <c r="Q262" s="79"/>
      <c r="R262" s="79">
        <f t="shared" si="113"/>
        <v>53.5</v>
      </c>
      <c r="S262" s="79">
        <v>53.5</v>
      </c>
      <c r="T262" s="79"/>
      <c r="U262" s="79">
        <f t="shared" si="114"/>
        <v>54</v>
      </c>
      <c r="V262" s="79">
        <v>54</v>
      </c>
      <c r="W262" s="79"/>
    </row>
    <row r="263" spans="1:23" s="92" customFormat="1" ht="56.25">
      <c r="A263" s="629" t="s">
        <v>131</v>
      </c>
      <c r="B263" s="180" t="s">
        <v>132</v>
      </c>
      <c r="C263" s="8"/>
      <c r="D263" s="644"/>
      <c r="E263" s="644"/>
      <c r="F263" s="644"/>
      <c r="G263" s="644"/>
      <c r="H263" s="644"/>
      <c r="I263" s="8"/>
      <c r="J263" s="8"/>
      <c r="K263" s="8" t="s">
        <v>62</v>
      </c>
      <c r="L263" s="19">
        <f>SUM(L264,)</f>
        <v>27797.199999999997</v>
      </c>
      <c r="M263" s="19">
        <f t="shared" ref="M263:W263" si="116">SUM(M264,)</f>
        <v>26757.900000000005</v>
      </c>
      <c r="N263" s="19">
        <f t="shared" si="116"/>
        <v>14962.400000000001</v>
      </c>
      <c r="O263" s="19">
        <f t="shared" si="116"/>
        <v>25986.400000000001</v>
      </c>
      <c r="P263" s="19">
        <f t="shared" si="116"/>
        <v>25986.400000000001</v>
      </c>
      <c r="Q263" s="19">
        <f t="shared" si="116"/>
        <v>0</v>
      </c>
      <c r="R263" s="19">
        <f t="shared" si="116"/>
        <v>25745.899999999998</v>
      </c>
      <c r="S263" s="19">
        <f t="shared" si="116"/>
        <v>25745.899999999998</v>
      </c>
      <c r="T263" s="19">
        <f t="shared" si="116"/>
        <v>0</v>
      </c>
      <c r="U263" s="19">
        <f t="shared" si="116"/>
        <v>26005</v>
      </c>
      <c r="V263" s="19">
        <f t="shared" si="116"/>
        <v>26005</v>
      </c>
      <c r="W263" s="19">
        <f t="shared" si="116"/>
        <v>0</v>
      </c>
    </row>
    <row r="264" spans="1:23" s="92" customFormat="1">
      <c r="A264" s="630" t="s">
        <v>9</v>
      </c>
      <c r="B264" s="421" t="s">
        <v>67</v>
      </c>
      <c r="C264" s="421"/>
      <c r="D264" s="421"/>
      <c r="E264" s="421"/>
      <c r="F264" s="421"/>
      <c r="G264" s="421"/>
      <c r="H264" s="421"/>
      <c r="I264" s="421"/>
      <c r="J264" s="421"/>
      <c r="K264" s="421"/>
      <c r="L264" s="20">
        <f>SUM(L266,L271,)</f>
        <v>27797.199999999997</v>
      </c>
      <c r="M264" s="20">
        <f t="shared" ref="M264:W264" si="117">SUM(M266,M271,)</f>
        <v>26757.900000000005</v>
      </c>
      <c r="N264" s="20">
        <f t="shared" si="117"/>
        <v>14962.400000000001</v>
      </c>
      <c r="O264" s="20">
        <f t="shared" si="117"/>
        <v>25986.400000000001</v>
      </c>
      <c r="P264" s="20">
        <f t="shared" si="117"/>
        <v>25986.400000000001</v>
      </c>
      <c r="Q264" s="20">
        <f t="shared" si="117"/>
        <v>0</v>
      </c>
      <c r="R264" s="20">
        <f t="shared" si="117"/>
        <v>25745.899999999998</v>
      </c>
      <c r="S264" s="20">
        <f t="shared" si="117"/>
        <v>25745.899999999998</v>
      </c>
      <c r="T264" s="20">
        <f t="shared" si="117"/>
        <v>0</v>
      </c>
      <c r="U264" s="20">
        <f t="shared" si="117"/>
        <v>26005</v>
      </c>
      <c r="V264" s="20">
        <f t="shared" si="117"/>
        <v>26005</v>
      </c>
      <c r="W264" s="20">
        <f t="shared" si="117"/>
        <v>0</v>
      </c>
    </row>
    <row r="265" spans="1:23" s="92" customFormat="1">
      <c r="A265" s="470" t="s">
        <v>460</v>
      </c>
      <c r="B265" s="470"/>
      <c r="C265" s="110"/>
      <c r="D265" s="257"/>
      <c r="E265" s="257"/>
      <c r="F265" s="257"/>
      <c r="G265" s="257"/>
      <c r="H265" s="257"/>
      <c r="I265" s="110"/>
      <c r="J265" s="110"/>
      <c r="K265" s="110"/>
      <c r="L265" s="239">
        <f>L266</f>
        <v>4850.4999999999991</v>
      </c>
      <c r="M265" s="239">
        <f t="shared" ref="M265:W265" si="118">M266</f>
        <v>3885.7000000000003</v>
      </c>
      <c r="N265" s="239">
        <f t="shared" si="118"/>
        <v>2562.9</v>
      </c>
      <c r="O265" s="239">
        <f t="shared" si="118"/>
        <v>4205</v>
      </c>
      <c r="P265" s="239">
        <f t="shared" si="118"/>
        <v>4205</v>
      </c>
      <c r="Q265" s="239">
        <f t="shared" si="118"/>
        <v>0</v>
      </c>
      <c r="R265" s="239">
        <f t="shared" si="118"/>
        <v>4166</v>
      </c>
      <c r="S265" s="239">
        <f t="shared" si="118"/>
        <v>4166</v>
      </c>
      <c r="T265" s="239">
        <f t="shared" si="118"/>
        <v>0</v>
      </c>
      <c r="U265" s="239">
        <f t="shared" si="118"/>
        <v>4207.9000000000005</v>
      </c>
      <c r="V265" s="239">
        <f t="shared" si="118"/>
        <v>4207.9000000000005</v>
      </c>
      <c r="W265" s="239">
        <f t="shared" si="118"/>
        <v>0</v>
      </c>
    </row>
    <row r="266" spans="1:23" s="92" customFormat="1">
      <c r="A266" s="235" t="s">
        <v>57</v>
      </c>
      <c r="B266" s="229"/>
      <c r="C266" s="115"/>
      <c r="D266" s="383"/>
      <c r="E266" s="250"/>
      <c r="F266" s="250"/>
      <c r="G266" s="250"/>
      <c r="H266" s="250"/>
      <c r="I266" s="15"/>
      <c r="J266" s="115"/>
      <c r="K266" s="14"/>
      <c r="L266" s="22">
        <f>SUM(L267:L270)</f>
        <v>4850.4999999999991</v>
      </c>
      <c r="M266" s="22">
        <f>SUM(M267:M270)</f>
        <v>3885.7000000000003</v>
      </c>
      <c r="N266" s="22">
        <f>SUM(N267:N270)</f>
        <v>2562.9</v>
      </c>
      <c r="O266" s="22">
        <f t="shared" ref="O266:W266" si="119">SUM(O267:O268)</f>
        <v>4205</v>
      </c>
      <c r="P266" s="22">
        <f t="shared" si="119"/>
        <v>4205</v>
      </c>
      <c r="Q266" s="22">
        <f t="shared" si="119"/>
        <v>0</v>
      </c>
      <c r="R266" s="22">
        <f t="shared" si="119"/>
        <v>4166</v>
      </c>
      <c r="S266" s="22">
        <f t="shared" si="119"/>
        <v>4166</v>
      </c>
      <c r="T266" s="22">
        <f t="shared" si="119"/>
        <v>0</v>
      </c>
      <c r="U266" s="22">
        <f t="shared" si="119"/>
        <v>4207.9000000000005</v>
      </c>
      <c r="V266" s="22">
        <f t="shared" si="119"/>
        <v>4207.9000000000005</v>
      </c>
      <c r="W266" s="22">
        <f t="shared" si="119"/>
        <v>0</v>
      </c>
    </row>
    <row r="267" spans="1:23" s="92" customFormat="1" ht="37.5">
      <c r="A267" s="225" t="s">
        <v>10</v>
      </c>
      <c r="B267" s="229" t="s">
        <v>68</v>
      </c>
      <c r="C267" s="121"/>
      <c r="D267" s="226" t="s">
        <v>383</v>
      </c>
      <c r="E267" s="226" t="s">
        <v>92</v>
      </c>
      <c r="F267" s="226" t="s">
        <v>93</v>
      </c>
      <c r="G267" s="226" t="s">
        <v>114</v>
      </c>
      <c r="H267" s="250">
        <v>100</v>
      </c>
      <c r="I267" s="456" t="s">
        <v>461</v>
      </c>
      <c r="J267" s="471" t="s">
        <v>462</v>
      </c>
      <c r="K267" s="447" t="s">
        <v>463</v>
      </c>
      <c r="L267" s="25">
        <v>3525.2</v>
      </c>
      <c r="M267" s="25">
        <v>3385.8</v>
      </c>
      <c r="N267" s="25">
        <v>2231.3000000000002</v>
      </c>
      <c r="O267" s="25">
        <f>SUM(P267:Q267)</f>
        <v>3855.5</v>
      </c>
      <c r="P267" s="25">
        <v>3855.5</v>
      </c>
      <c r="Q267" s="25"/>
      <c r="R267" s="25">
        <f>SUM(S267:T267)</f>
        <v>3819.7</v>
      </c>
      <c r="S267" s="25">
        <v>3819.7</v>
      </c>
      <c r="T267" s="25"/>
      <c r="U267" s="25">
        <f>V267</f>
        <v>3858.3</v>
      </c>
      <c r="V267" s="25">
        <v>3858.3</v>
      </c>
      <c r="W267" s="25"/>
    </row>
    <row r="268" spans="1:23" s="92" customFormat="1" ht="37.5">
      <c r="A268" s="225" t="s">
        <v>11</v>
      </c>
      <c r="B268" s="229" t="s">
        <v>69</v>
      </c>
      <c r="C268" s="15"/>
      <c r="D268" s="226" t="s">
        <v>349</v>
      </c>
      <c r="E268" s="226" t="s">
        <v>92</v>
      </c>
      <c r="F268" s="226" t="s">
        <v>93</v>
      </c>
      <c r="G268" s="226" t="s">
        <v>114</v>
      </c>
      <c r="H268" s="250">
        <v>200</v>
      </c>
      <c r="I268" s="456"/>
      <c r="J268" s="471"/>
      <c r="K268" s="447"/>
      <c r="L268" s="25">
        <v>758.9</v>
      </c>
      <c r="M268" s="25">
        <v>377.3</v>
      </c>
      <c r="N268" s="25">
        <v>209</v>
      </c>
      <c r="O268" s="25">
        <f>Q268+P268</f>
        <v>349.5</v>
      </c>
      <c r="P268" s="25">
        <v>349.5</v>
      </c>
      <c r="Q268" s="25"/>
      <c r="R268" s="25">
        <f>S268</f>
        <v>346.3</v>
      </c>
      <c r="S268" s="25">
        <v>346.3</v>
      </c>
      <c r="T268" s="25"/>
      <c r="U268" s="25">
        <f>V268</f>
        <v>349.6</v>
      </c>
      <c r="V268" s="25">
        <v>349.6</v>
      </c>
      <c r="W268" s="25"/>
    </row>
    <row r="269" spans="1:23" s="92" customFormat="1" ht="75">
      <c r="A269" s="225" t="s">
        <v>1275</v>
      </c>
      <c r="B269" s="229" t="s">
        <v>69</v>
      </c>
      <c r="C269" s="125" t="s">
        <v>490</v>
      </c>
      <c r="D269" s="226" t="s">
        <v>1021</v>
      </c>
      <c r="E269" s="226" t="s">
        <v>80</v>
      </c>
      <c r="F269" s="226" t="s">
        <v>144</v>
      </c>
      <c r="G269" s="226" t="s">
        <v>124</v>
      </c>
      <c r="H269" s="250">
        <v>200</v>
      </c>
      <c r="I269" s="456"/>
      <c r="J269" s="107"/>
      <c r="K269" s="126"/>
      <c r="L269" s="25"/>
      <c r="M269" s="25">
        <v>122.6</v>
      </c>
      <c r="N269" s="25">
        <v>122.6</v>
      </c>
      <c r="O269" s="25"/>
      <c r="P269" s="25"/>
      <c r="Q269" s="25"/>
      <c r="R269" s="25"/>
      <c r="S269" s="25"/>
      <c r="T269" s="25"/>
      <c r="U269" s="25"/>
      <c r="V269" s="25"/>
      <c r="W269" s="25"/>
    </row>
    <row r="270" spans="1:23" s="92" customFormat="1" ht="150">
      <c r="A270" s="225" t="s">
        <v>976</v>
      </c>
      <c r="B270" s="229" t="s">
        <v>69</v>
      </c>
      <c r="C270" s="55" t="s">
        <v>319</v>
      </c>
      <c r="D270" s="226" t="s">
        <v>1276</v>
      </c>
      <c r="E270" s="226" t="s">
        <v>92</v>
      </c>
      <c r="F270" s="226" t="s">
        <v>83</v>
      </c>
      <c r="G270" s="226" t="s">
        <v>495</v>
      </c>
      <c r="H270" s="250">
        <v>200</v>
      </c>
      <c r="I270" s="456"/>
      <c r="J270" s="107"/>
      <c r="K270" s="126"/>
      <c r="L270" s="25">
        <v>566.4</v>
      </c>
      <c r="M270" s="25">
        <v>0</v>
      </c>
      <c r="N270" s="25">
        <v>0</v>
      </c>
      <c r="O270" s="25">
        <v>0</v>
      </c>
      <c r="P270" s="25"/>
      <c r="Q270" s="25"/>
      <c r="R270" s="25"/>
      <c r="S270" s="25"/>
      <c r="T270" s="25"/>
      <c r="U270" s="25"/>
      <c r="V270" s="25"/>
      <c r="W270" s="25"/>
    </row>
    <row r="271" spans="1:23" s="92" customFormat="1">
      <c r="A271" s="411" t="s">
        <v>88</v>
      </c>
      <c r="B271" s="411"/>
      <c r="C271" s="411"/>
      <c r="D271" s="411"/>
      <c r="E271" s="411"/>
      <c r="F271" s="411"/>
      <c r="G271" s="411"/>
      <c r="H271" s="411"/>
      <c r="I271" s="411"/>
      <c r="J271" s="411"/>
      <c r="K271" s="411"/>
      <c r="L271" s="22">
        <f>SUM(L272,L275,L289)</f>
        <v>22946.699999999997</v>
      </c>
      <c r="M271" s="22">
        <f>SUM(M272,M275,M289)</f>
        <v>22872.200000000004</v>
      </c>
      <c r="N271" s="22">
        <f>N272+N275+N289</f>
        <v>12399.500000000002</v>
      </c>
      <c r="O271" s="22">
        <f>O272+O275+O289</f>
        <v>21781.4</v>
      </c>
      <c r="P271" s="22">
        <f t="shared" ref="P271:W271" si="120">SUM(P272,P275,P289)</f>
        <v>21781.4</v>
      </c>
      <c r="Q271" s="22">
        <f t="shared" si="120"/>
        <v>0</v>
      </c>
      <c r="R271" s="22">
        <f t="shared" si="120"/>
        <v>21579.899999999998</v>
      </c>
      <c r="S271" s="22">
        <f t="shared" si="120"/>
        <v>21579.899999999998</v>
      </c>
      <c r="T271" s="22">
        <f t="shared" si="120"/>
        <v>0</v>
      </c>
      <c r="U271" s="22">
        <f t="shared" si="120"/>
        <v>21797.1</v>
      </c>
      <c r="V271" s="22">
        <f t="shared" si="120"/>
        <v>21797.1</v>
      </c>
      <c r="W271" s="22">
        <f t="shared" si="120"/>
        <v>0</v>
      </c>
    </row>
    <row r="272" spans="1:23" s="92" customFormat="1">
      <c r="A272" s="225" t="s">
        <v>12</v>
      </c>
      <c r="B272" s="229" t="s">
        <v>58</v>
      </c>
      <c r="C272" s="121"/>
      <c r="D272" s="226"/>
      <c r="E272" s="250"/>
      <c r="F272" s="250"/>
      <c r="G272" s="250"/>
      <c r="H272" s="250">
        <v>100</v>
      </c>
      <c r="I272" s="111"/>
      <c r="J272" s="121"/>
      <c r="K272" s="121"/>
      <c r="L272" s="25">
        <f>SUM(L273:L274)</f>
        <v>9606.1</v>
      </c>
      <c r="M272" s="25">
        <f>SUM(M273:M274)</f>
        <v>10767.7</v>
      </c>
      <c r="N272" s="25">
        <f>SUM(N273:N274)</f>
        <v>6204.6</v>
      </c>
      <c r="O272" s="25">
        <f>SUM(O273:O274)</f>
        <v>13025.3</v>
      </c>
      <c r="P272" s="25">
        <f>SUM(P273:P274)</f>
        <v>13025.3</v>
      </c>
      <c r="Q272" s="25">
        <f t="shared" ref="Q272:W272" si="121">SUM(Q273:Q274)</f>
        <v>0</v>
      </c>
      <c r="R272" s="25">
        <f t="shared" si="121"/>
        <v>12904.7</v>
      </c>
      <c r="S272" s="25">
        <f t="shared" si="121"/>
        <v>12904.7</v>
      </c>
      <c r="T272" s="25">
        <f t="shared" si="121"/>
        <v>0</v>
      </c>
      <c r="U272" s="25">
        <f t="shared" si="121"/>
        <v>13034.7</v>
      </c>
      <c r="V272" s="25">
        <f t="shared" si="121"/>
        <v>13034.7</v>
      </c>
      <c r="W272" s="25">
        <f t="shared" si="121"/>
        <v>0</v>
      </c>
    </row>
    <row r="273" spans="1:23" s="92" customFormat="1" ht="93.75">
      <c r="A273" s="225" t="s">
        <v>48</v>
      </c>
      <c r="B273" s="229" t="s">
        <v>264</v>
      </c>
      <c r="C273" s="121" t="s">
        <v>104</v>
      </c>
      <c r="D273" s="226" t="s">
        <v>403</v>
      </c>
      <c r="E273" s="226" t="s">
        <v>95</v>
      </c>
      <c r="F273" s="226">
        <v>10</v>
      </c>
      <c r="G273" s="250">
        <v>2020100590</v>
      </c>
      <c r="H273" s="250">
        <v>100</v>
      </c>
      <c r="I273" s="456" t="s">
        <v>437</v>
      </c>
      <c r="J273" s="413" t="s">
        <v>438</v>
      </c>
      <c r="K273" s="413" t="s">
        <v>464</v>
      </c>
      <c r="L273" s="25">
        <v>5708.8</v>
      </c>
      <c r="M273" s="25">
        <v>5514.1</v>
      </c>
      <c r="N273" s="25">
        <v>3767.7</v>
      </c>
      <c r="O273" s="25">
        <f>P273+Q273</f>
        <v>6644.7</v>
      </c>
      <c r="P273" s="25">
        <f>6633.9+10.8</f>
        <v>6644.7</v>
      </c>
      <c r="Q273" s="25"/>
      <c r="R273" s="25">
        <f>S273+T273</f>
        <v>6572.5</v>
      </c>
      <c r="S273" s="25">
        <v>6572.5</v>
      </c>
      <c r="T273" s="25"/>
      <c r="U273" s="25">
        <f>V273+W273</f>
        <v>6649.5</v>
      </c>
      <c r="V273" s="25">
        <f>6638.7+10.8</f>
        <v>6649.5</v>
      </c>
      <c r="W273" s="25"/>
    </row>
    <row r="274" spans="1:23" s="92" customFormat="1" ht="112.5">
      <c r="A274" s="225" t="s">
        <v>65</v>
      </c>
      <c r="B274" s="229" t="s">
        <v>265</v>
      </c>
      <c r="C274" s="121" t="s">
        <v>113</v>
      </c>
      <c r="D274" s="226" t="s">
        <v>393</v>
      </c>
      <c r="E274" s="226" t="s">
        <v>98</v>
      </c>
      <c r="F274" s="226" t="s">
        <v>98</v>
      </c>
      <c r="G274" s="226" t="s">
        <v>100</v>
      </c>
      <c r="H274" s="250">
        <v>100</v>
      </c>
      <c r="I274" s="456"/>
      <c r="J274" s="413"/>
      <c r="K274" s="413"/>
      <c r="L274" s="25">
        <v>3897.3</v>
      </c>
      <c r="M274" s="25">
        <v>5253.6</v>
      </c>
      <c r="N274" s="25">
        <v>2436.9</v>
      </c>
      <c r="O274" s="25">
        <f t="shared" ref="O274" si="122">P274+Q274</f>
        <v>6380.6</v>
      </c>
      <c r="P274" s="25">
        <v>6380.6</v>
      </c>
      <c r="Q274" s="25"/>
      <c r="R274" s="25">
        <f>S274+T274</f>
        <v>6332.2</v>
      </c>
      <c r="S274" s="25">
        <f>6321.5+10.7</f>
        <v>6332.2</v>
      </c>
      <c r="T274" s="25"/>
      <c r="U274" s="25">
        <f t="shared" ref="U274" si="123">V274+W274</f>
        <v>6385.2</v>
      </c>
      <c r="V274" s="25">
        <v>6385.2</v>
      </c>
      <c r="W274" s="25"/>
    </row>
    <row r="275" spans="1:23" s="92" customFormat="1" ht="37.5">
      <c r="A275" s="225" t="s">
        <v>13</v>
      </c>
      <c r="B275" s="229" t="s">
        <v>32</v>
      </c>
      <c r="C275" s="15"/>
      <c r="D275" s="226"/>
      <c r="E275" s="226"/>
      <c r="F275" s="226"/>
      <c r="G275" s="250"/>
      <c r="H275" s="250">
        <v>200</v>
      </c>
      <c r="I275" s="15"/>
      <c r="J275" s="15"/>
      <c r="K275" s="27"/>
      <c r="L275" s="25">
        <f t="shared" ref="L275:W275" si="124">SUM(L276:L288)</f>
        <v>13135</v>
      </c>
      <c r="M275" s="25">
        <f t="shared" si="124"/>
        <v>11646.1</v>
      </c>
      <c r="N275" s="25">
        <f t="shared" si="124"/>
        <v>5737.7000000000007</v>
      </c>
      <c r="O275" s="25">
        <f t="shared" si="124"/>
        <v>8031.6</v>
      </c>
      <c r="P275" s="25">
        <f t="shared" si="124"/>
        <v>8031.6</v>
      </c>
      <c r="Q275" s="25">
        <f t="shared" si="124"/>
        <v>0</v>
      </c>
      <c r="R275" s="25">
        <f t="shared" si="124"/>
        <v>7957.4</v>
      </c>
      <c r="S275" s="25">
        <f t="shared" si="124"/>
        <v>7957.4</v>
      </c>
      <c r="T275" s="25">
        <f t="shared" si="124"/>
        <v>0</v>
      </c>
      <c r="U275" s="25">
        <f t="shared" si="124"/>
        <v>8037.4</v>
      </c>
      <c r="V275" s="25">
        <f t="shared" si="124"/>
        <v>8037.4</v>
      </c>
      <c r="W275" s="25">
        <f t="shared" si="124"/>
        <v>0</v>
      </c>
    </row>
    <row r="276" spans="1:23" s="92" customFormat="1" ht="93.75">
      <c r="A276" s="225" t="s">
        <v>49</v>
      </c>
      <c r="B276" s="229" t="s">
        <v>465</v>
      </c>
      <c r="C276" s="121" t="s">
        <v>104</v>
      </c>
      <c r="D276" s="226" t="s">
        <v>403</v>
      </c>
      <c r="E276" s="226" t="s">
        <v>95</v>
      </c>
      <c r="F276" s="226" t="s">
        <v>80</v>
      </c>
      <c r="G276" s="250">
        <v>2020100590</v>
      </c>
      <c r="H276" s="250">
        <v>200</v>
      </c>
      <c r="I276" s="427" t="s">
        <v>439</v>
      </c>
      <c r="J276" s="413" t="s">
        <v>440</v>
      </c>
      <c r="K276" s="413" t="s">
        <v>466</v>
      </c>
      <c r="L276" s="25">
        <v>726.6</v>
      </c>
      <c r="M276" s="25">
        <v>935.4</v>
      </c>
      <c r="N276" s="25">
        <v>565.70000000000005</v>
      </c>
      <c r="O276" s="25">
        <f>P276+Q276</f>
        <v>855.4</v>
      </c>
      <c r="P276" s="25">
        <v>855.4</v>
      </c>
      <c r="Q276" s="25"/>
      <c r="R276" s="25">
        <f>S276+T276</f>
        <v>847.6</v>
      </c>
      <c r="S276" s="25">
        <v>847.6</v>
      </c>
      <c r="T276" s="25"/>
      <c r="U276" s="25">
        <f>V276+W276</f>
        <v>856</v>
      </c>
      <c r="V276" s="25">
        <v>856</v>
      </c>
      <c r="W276" s="25"/>
    </row>
    <row r="277" spans="1:23" s="92" customFormat="1" ht="93.75">
      <c r="A277" s="225" t="s">
        <v>70</v>
      </c>
      <c r="B277" s="229" t="s">
        <v>465</v>
      </c>
      <c r="C277" s="56" t="s">
        <v>117</v>
      </c>
      <c r="D277" s="226" t="s">
        <v>403</v>
      </c>
      <c r="E277" s="226" t="s">
        <v>95</v>
      </c>
      <c r="F277" s="226" t="s">
        <v>80</v>
      </c>
      <c r="G277" s="250">
        <v>2020125110</v>
      </c>
      <c r="H277" s="250">
        <v>200</v>
      </c>
      <c r="I277" s="427"/>
      <c r="J277" s="413"/>
      <c r="K277" s="413"/>
      <c r="L277" s="25">
        <v>90</v>
      </c>
      <c r="M277" s="25">
        <v>90.3</v>
      </c>
      <c r="N277" s="25">
        <v>80.5</v>
      </c>
      <c r="O277" s="25">
        <f t="shared" ref="O277:O288" si="125">P277+Q277</f>
        <v>166.8</v>
      </c>
      <c r="P277" s="25">
        <v>166.8</v>
      </c>
      <c r="Q277" s="25">
        <v>0</v>
      </c>
      <c r="R277" s="25">
        <f t="shared" ref="R277:R286" si="126">S277+T277</f>
        <v>165.3</v>
      </c>
      <c r="S277" s="25">
        <v>165.3</v>
      </c>
      <c r="T277" s="25">
        <v>0</v>
      </c>
      <c r="U277" s="25">
        <f t="shared" ref="U277:U285" si="127">V277+W277</f>
        <v>166.9</v>
      </c>
      <c r="V277" s="25">
        <v>166.9</v>
      </c>
      <c r="W277" s="25">
        <v>0</v>
      </c>
    </row>
    <row r="278" spans="1:23" s="92" customFormat="1" ht="56.25">
      <c r="A278" s="225" t="s">
        <v>71</v>
      </c>
      <c r="B278" s="229" t="s">
        <v>265</v>
      </c>
      <c r="C278" s="57" t="s">
        <v>120</v>
      </c>
      <c r="D278" s="226" t="s">
        <v>395</v>
      </c>
      <c r="E278" s="226" t="s">
        <v>98</v>
      </c>
      <c r="F278" s="226" t="s">
        <v>95</v>
      </c>
      <c r="G278" s="226" t="s">
        <v>186</v>
      </c>
      <c r="H278" s="250">
        <v>200</v>
      </c>
      <c r="I278" s="449"/>
      <c r="J278" s="424"/>
      <c r="K278" s="424"/>
      <c r="L278" s="25">
        <v>3206.7</v>
      </c>
      <c r="M278" s="25">
        <v>3910.9</v>
      </c>
      <c r="N278" s="25">
        <v>1806.7</v>
      </c>
      <c r="O278" s="25">
        <f t="shared" si="125"/>
        <v>3907.7</v>
      </c>
      <c r="P278" s="25">
        <v>3907.7</v>
      </c>
      <c r="Q278" s="25">
        <v>0</v>
      </c>
      <c r="R278" s="25">
        <f>SUM(S278)</f>
        <v>3871.5</v>
      </c>
      <c r="S278" s="25">
        <v>3871.5</v>
      </c>
      <c r="T278" s="25"/>
      <c r="U278" s="25">
        <f t="shared" si="127"/>
        <v>3910.6</v>
      </c>
      <c r="V278" s="25">
        <v>3910.6</v>
      </c>
      <c r="W278" s="25"/>
    </row>
    <row r="279" spans="1:23" s="92" customFormat="1" ht="75">
      <c r="A279" s="225"/>
      <c r="B279" s="229" t="s">
        <v>265</v>
      </c>
      <c r="C279" s="57" t="s">
        <v>1022</v>
      </c>
      <c r="D279" s="226" t="s">
        <v>395</v>
      </c>
      <c r="E279" s="226" t="s">
        <v>98</v>
      </c>
      <c r="F279" s="226" t="s">
        <v>95</v>
      </c>
      <c r="G279" s="226" t="s">
        <v>225</v>
      </c>
      <c r="H279" s="250">
        <v>200</v>
      </c>
      <c r="I279" s="449"/>
      <c r="J279" s="424"/>
      <c r="K279" s="424"/>
      <c r="L279" s="25">
        <v>0</v>
      </c>
      <c r="M279" s="25">
        <v>142.5</v>
      </c>
      <c r="N279" s="25">
        <v>126</v>
      </c>
      <c r="O279" s="25">
        <f>P279</f>
        <v>125.1</v>
      </c>
      <c r="P279" s="25">
        <v>125.1</v>
      </c>
      <c r="Q279" s="25"/>
      <c r="R279" s="25">
        <f>S279</f>
        <v>123.9</v>
      </c>
      <c r="S279" s="25">
        <v>123.9</v>
      </c>
      <c r="T279" s="25"/>
      <c r="U279" s="25">
        <f>V279</f>
        <v>125.2</v>
      </c>
      <c r="V279" s="25">
        <v>125.2</v>
      </c>
      <c r="W279" s="25"/>
    </row>
    <row r="280" spans="1:23" s="92" customFormat="1" ht="93.75">
      <c r="A280" s="225" t="s">
        <v>266</v>
      </c>
      <c r="B280" s="229" t="s">
        <v>265</v>
      </c>
      <c r="C280" s="123" t="s">
        <v>267</v>
      </c>
      <c r="D280" s="226" t="s">
        <v>395</v>
      </c>
      <c r="E280" s="226" t="s">
        <v>98</v>
      </c>
      <c r="F280" s="226" t="s">
        <v>95</v>
      </c>
      <c r="G280" s="226" t="s">
        <v>126</v>
      </c>
      <c r="H280" s="250">
        <v>200</v>
      </c>
      <c r="I280" s="449"/>
      <c r="J280" s="424"/>
      <c r="K280" s="424"/>
      <c r="L280" s="25">
        <v>94.4</v>
      </c>
      <c r="M280" s="25">
        <v>152.4</v>
      </c>
      <c r="N280" s="25">
        <v>150.30000000000001</v>
      </c>
      <c r="O280" s="25">
        <f t="shared" si="125"/>
        <v>133.80000000000001</v>
      </c>
      <c r="P280" s="25">
        <v>133.80000000000001</v>
      </c>
      <c r="Q280" s="25"/>
      <c r="R280" s="25">
        <f t="shared" si="126"/>
        <v>132.6</v>
      </c>
      <c r="S280" s="25">
        <v>132.6</v>
      </c>
      <c r="T280" s="25"/>
      <c r="U280" s="25">
        <f t="shared" si="127"/>
        <v>133.9</v>
      </c>
      <c r="V280" s="25">
        <v>133.9</v>
      </c>
      <c r="W280" s="25"/>
    </row>
    <row r="281" spans="1:23" s="92" customFormat="1" ht="75">
      <c r="A281" s="225" t="s">
        <v>268</v>
      </c>
      <c r="B281" s="229" t="s">
        <v>265</v>
      </c>
      <c r="C281" s="57" t="s">
        <v>99</v>
      </c>
      <c r="D281" s="226" t="s">
        <v>396</v>
      </c>
      <c r="E281" s="226" t="s">
        <v>98</v>
      </c>
      <c r="F281" s="226" t="s">
        <v>95</v>
      </c>
      <c r="G281" s="226" t="s">
        <v>121</v>
      </c>
      <c r="H281" s="250">
        <v>200</v>
      </c>
      <c r="I281" s="449"/>
      <c r="J281" s="424"/>
      <c r="K281" s="424"/>
      <c r="L281" s="25">
        <v>133</v>
      </c>
      <c r="M281" s="25">
        <v>126.4</v>
      </c>
      <c r="N281" s="25">
        <v>126</v>
      </c>
      <c r="O281" s="25">
        <f t="shared" si="125"/>
        <v>131.69999999999999</v>
      </c>
      <c r="P281" s="25">
        <v>131.69999999999999</v>
      </c>
      <c r="Q281" s="25"/>
      <c r="R281" s="25">
        <f t="shared" si="126"/>
        <v>130.5</v>
      </c>
      <c r="S281" s="25">
        <v>130.5</v>
      </c>
      <c r="T281" s="25"/>
      <c r="U281" s="25">
        <f t="shared" si="127"/>
        <v>131.80000000000001</v>
      </c>
      <c r="V281" s="25">
        <v>131.80000000000001</v>
      </c>
      <c r="W281" s="25"/>
    </row>
    <row r="282" spans="1:23" s="336" customFormat="1" ht="56.25">
      <c r="A282" s="225" t="s">
        <v>269</v>
      </c>
      <c r="B282" s="229" t="s">
        <v>265</v>
      </c>
      <c r="C282" s="123"/>
      <c r="D282" s="226" t="s">
        <v>395</v>
      </c>
      <c r="E282" s="226" t="s">
        <v>98</v>
      </c>
      <c r="F282" s="226" t="s">
        <v>95</v>
      </c>
      <c r="G282" s="226" t="s">
        <v>1023</v>
      </c>
      <c r="H282" s="250">
        <v>200</v>
      </c>
      <c r="I282" s="449"/>
      <c r="J282" s="424"/>
      <c r="K282" s="424"/>
      <c r="L282" s="25">
        <v>296</v>
      </c>
      <c r="M282" s="25">
        <v>12.3</v>
      </c>
      <c r="N282" s="25">
        <v>0</v>
      </c>
      <c r="O282" s="25">
        <f t="shared" si="125"/>
        <v>0</v>
      </c>
      <c r="P282" s="25">
        <v>0</v>
      </c>
      <c r="Q282" s="25"/>
      <c r="R282" s="25">
        <f t="shared" si="126"/>
        <v>0</v>
      </c>
      <c r="S282" s="25">
        <v>0</v>
      </c>
      <c r="T282" s="25"/>
      <c r="U282" s="25">
        <f t="shared" si="127"/>
        <v>0</v>
      </c>
      <c r="V282" s="25"/>
      <c r="W282" s="25"/>
    </row>
    <row r="283" spans="1:23" s="336" customFormat="1" ht="56.25">
      <c r="A283" s="225"/>
      <c r="B283" s="229" t="s">
        <v>265</v>
      </c>
      <c r="C283" s="123"/>
      <c r="D283" s="226" t="s">
        <v>395</v>
      </c>
      <c r="E283" s="226" t="s">
        <v>98</v>
      </c>
      <c r="F283" s="226" t="s">
        <v>95</v>
      </c>
      <c r="G283" s="226" t="s">
        <v>380</v>
      </c>
      <c r="H283" s="250">
        <v>200</v>
      </c>
      <c r="I283" s="449"/>
      <c r="J283" s="424"/>
      <c r="K283" s="424"/>
      <c r="L283" s="25">
        <v>1286.9000000000001</v>
      </c>
      <c r="M283" s="25">
        <v>835.7</v>
      </c>
      <c r="N283" s="25">
        <v>835.7</v>
      </c>
      <c r="O283" s="25">
        <f t="shared" si="125"/>
        <v>0</v>
      </c>
      <c r="P283" s="25">
        <v>0</v>
      </c>
      <c r="Q283" s="25"/>
      <c r="R283" s="25">
        <f t="shared" si="126"/>
        <v>0</v>
      </c>
      <c r="S283" s="25">
        <v>0</v>
      </c>
      <c r="T283" s="25"/>
      <c r="U283" s="25"/>
      <c r="V283" s="25"/>
      <c r="W283" s="25"/>
    </row>
    <row r="284" spans="1:23" s="337" customFormat="1" ht="56.25">
      <c r="A284" s="225"/>
      <c r="B284" s="229" t="s">
        <v>265</v>
      </c>
      <c r="C284" s="123"/>
      <c r="D284" s="226" t="s">
        <v>395</v>
      </c>
      <c r="E284" s="226" t="s">
        <v>98</v>
      </c>
      <c r="F284" s="226" t="s">
        <v>95</v>
      </c>
      <c r="G284" s="226" t="s">
        <v>1010</v>
      </c>
      <c r="H284" s="250">
        <v>200</v>
      </c>
      <c r="I284" s="449"/>
      <c r="J284" s="424"/>
      <c r="K284" s="424"/>
      <c r="L284" s="25">
        <v>199.2</v>
      </c>
      <c r="M284" s="25">
        <v>0</v>
      </c>
      <c r="N284" s="25">
        <v>0</v>
      </c>
      <c r="O284" s="25">
        <v>0</v>
      </c>
      <c r="P284" s="25"/>
      <c r="Q284" s="25"/>
      <c r="R284" s="25"/>
      <c r="S284" s="25"/>
      <c r="T284" s="25"/>
      <c r="U284" s="25"/>
      <c r="V284" s="25"/>
      <c r="W284" s="25"/>
    </row>
    <row r="285" spans="1:23" s="337" customFormat="1" ht="112.5">
      <c r="A285" s="225" t="s">
        <v>467</v>
      </c>
      <c r="B285" s="229" t="s">
        <v>265</v>
      </c>
      <c r="C285" s="123" t="s">
        <v>272</v>
      </c>
      <c r="D285" s="226" t="s">
        <v>393</v>
      </c>
      <c r="E285" s="226" t="s">
        <v>98</v>
      </c>
      <c r="F285" s="226" t="s">
        <v>98</v>
      </c>
      <c r="G285" s="226" t="s">
        <v>100</v>
      </c>
      <c r="H285" s="250">
        <v>200</v>
      </c>
      <c r="I285" s="449"/>
      <c r="J285" s="424"/>
      <c r="K285" s="424"/>
      <c r="L285" s="25">
        <v>1763</v>
      </c>
      <c r="M285" s="25">
        <v>1820.3</v>
      </c>
      <c r="N285" s="25">
        <v>1061.5</v>
      </c>
      <c r="O285" s="25">
        <f t="shared" si="125"/>
        <v>1694.3</v>
      </c>
      <c r="P285" s="25">
        <v>1694.3</v>
      </c>
      <c r="Q285" s="25"/>
      <c r="R285" s="25">
        <f t="shared" si="126"/>
        <v>1678.6</v>
      </c>
      <c r="S285" s="25">
        <v>1678.6</v>
      </c>
      <c r="T285" s="25"/>
      <c r="U285" s="25">
        <f t="shared" si="127"/>
        <v>1695.5</v>
      </c>
      <c r="V285" s="25">
        <v>1695.5</v>
      </c>
      <c r="W285" s="25"/>
    </row>
    <row r="286" spans="1:23" s="337" customFormat="1" ht="168.75">
      <c r="A286" s="225" t="s">
        <v>468</v>
      </c>
      <c r="B286" s="229" t="s">
        <v>273</v>
      </c>
      <c r="C286" s="121" t="s">
        <v>274</v>
      </c>
      <c r="D286" s="226" t="s">
        <v>394</v>
      </c>
      <c r="E286" s="226" t="s">
        <v>93</v>
      </c>
      <c r="F286" s="226" t="s">
        <v>97</v>
      </c>
      <c r="G286" s="226" t="s">
        <v>185</v>
      </c>
      <c r="H286" s="250">
        <v>200</v>
      </c>
      <c r="I286" s="446" t="s">
        <v>208</v>
      </c>
      <c r="J286" s="413" t="s">
        <v>443</v>
      </c>
      <c r="K286" s="424" t="s">
        <v>129</v>
      </c>
      <c r="L286" s="25">
        <v>1771.7</v>
      </c>
      <c r="M286" s="25">
        <v>1066.4000000000001</v>
      </c>
      <c r="N286" s="25">
        <v>985.3</v>
      </c>
      <c r="O286" s="25">
        <f>P286</f>
        <v>1016.8</v>
      </c>
      <c r="P286" s="25">
        <v>1016.8</v>
      </c>
      <c r="Q286" s="25"/>
      <c r="R286" s="25">
        <f t="shared" si="126"/>
        <v>1007.4</v>
      </c>
      <c r="S286" s="25">
        <v>1007.4</v>
      </c>
      <c r="T286" s="25"/>
      <c r="U286" s="25">
        <f>V286+W286</f>
        <v>1017.5</v>
      </c>
      <c r="V286" s="25">
        <v>1017.5</v>
      </c>
      <c r="W286" s="25"/>
    </row>
    <row r="287" spans="1:23" s="337" customFormat="1" ht="93.75">
      <c r="A287" s="225" t="s">
        <v>469</v>
      </c>
      <c r="B287" s="229" t="s">
        <v>273</v>
      </c>
      <c r="C287" s="123" t="s">
        <v>271</v>
      </c>
      <c r="D287" s="226" t="s">
        <v>395</v>
      </c>
      <c r="E287" s="226" t="s">
        <v>93</v>
      </c>
      <c r="F287" s="226" t="s">
        <v>97</v>
      </c>
      <c r="G287" s="226" t="s">
        <v>123</v>
      </c>
      <c r="H287" s="250">
        <v>200</v>
      </c>
      <c r="I287" s="446"/>
      <c r="J287" s="413"/>
      <c r="K287" s="424"/>
      <c r="L287" s="25">
        <v>2867.8</v>
      </c>
      <c r="M287" s="25">
        <v>2125.5</v>
      </c>
      <c r="N287" s="25">
        <v>0</v>
      </c>
      <c r="O287" s="25">
        <f t="shared" si="125"/>
        <v>0</v>
      </c>
      <c r="P287" s="25">
        <v>0</v>
      </c>
      <c r="Q287" s="25"/>
      <c r="R287" s="25"/>
      <c r="S287" s="25"/>
      <c r="T287" s="25"/>
      <c r="U287" s="25"/>
      <c r="V287" s="25"/>
      <c r="W287" s="25"/>
    </row>
    <row r="288" spans="1:23" s="337" customFormat="1" ht="356.25">
      <c r="A288" s="225"/>
      <c r="B288" s="229" t="s">
        <v>273</v>
      </c>
      <c r="C288" s="123" t="s">
        <v>1024</v>
      </c>
      <c r="D288" s="226" t="s">
        <v>394</v>
      </c>
      <c r="E288" s="226" t="s">
        <v>93</v>
      </c>
      <c r="F288" s="226" t="s">
        <v>97</v>
      </c>
      <c r="G288" s="226" t="s">
        <v>227</v>
      </c>
      <c r="H288" s="250">
        <v>200</v>
      </c>
      <c r="I288" s="122" t="s">
        <v>208</v>
      </c>
      <c r="J288" s="124" t="s">
        <v>1025</v>
      </c>
      <c r="K288" s="121" t="s">
        <v>1026</v>
      </c>
      <c r="L288" s="25">
        <v>699.7</v>
      </c>
      <c r="M288" s="25">
        <v>428</v>
      </c>
      <c r="N288" s="25">
        <v>0</v>
      </c>
      <c r="O288" s="25">
        <f t="shared" si="125"/>
        <v>0</v>
      </c>
      <c r="P288" s="25">
        <v>0</v>
      </c>
      <c r="Q288" s="25"/>
      <c r="R288" s="25"/>
      <c r="S288" s="25"/>
      <c r="T288" s="25"/>
      <c r="U288" s="25"/>
      <c r="V288" s="25"/>
      <c r="W288" s="25"/>
    </row>
    <row r="289" spans="1:23" s="337" customFormat="1">
      <c r="A289" s="225" t="s">
        <v>50</v>
      </c>
      <c r="B289" s="229" t="s">
        <v>31</v>
      </c>
      <c r="C289" s="15"/>
      <c r="D289" s="375"/>
      <c r="E289" s="226"/>
      <c r="F289" s="226"/>
      <c r="G289" s="226"/>
      <c r="H289" s="250">
        <v>800</v>
      </c>
      <c r="I289" s="15"/>
      <c r="J289" s="15"/>
      <c r="K289" s="27"/>
      <c r="L289" s="25">
        <f>SUM(L290:L290)</f>
        <v>205.6</v>
      </c>
      <c r="M289" s="25">
        <f>SUM(M290:M290)</f>
        <v>458.4</v>
      </c>
      <c r="N289" s="25">
        <f>SUM(N290:N290)</f>
        <v>457.2</v>
      </c>
      <c r="O289" s="25">
        <f>SUM(O290:O290)</f>
        <v>724.5</v>
      </c>
      <c r="P289" s="25">
        <v>724.5</v>
      </c>
      <c r="Q289" s="25">
        <f>SUM(Q290:Q290)</f>
        <v>0</v>
      </c>
      <c r="R289" s="25">
        <f>S289+T289</f>
        <v>717.8</v>
      </c>
      <c r="S289" s="25">
        <v>717.8</v>
      </c>
      <c r="T289" s="25">
        <v>0</v>
      </c>
      <c r="U289" s="25">
        <f>V289+W289</f>
        <v>725</v>
      </c>
      <c r="V289" s="25">
        <v>725</v>
      </c>
      <c r="W289" s="25">
        <v>0</v>
      </c>
    </row>
    <row r="290" spans="1:23" s="337" customFormat="1" ht="409.5">
      <c r="A290" s="225" t="s">
        <v>72</v>
      </c>
      <c r="B290" s="229" t="s">
        <v>265</v>
      </c>
      <c r="C290" s="123" t="s">
        <v>272</v>
      </c>
      <c r="D290" s="226" t="s">
        <v>393</v>
      </c>
      <c r="E290" s="226" t="s">
        <v>98</v>
      </c>
      <c r="F290" s="226" t="s">
        <v>98</v>
      </c>
      <c r="G290" s="226" t="s">
        <v>100</v>
      </c>
      <c r="H290" s="250">
        <v>800</v>
      </c>
      <c r="I290" s="123" t="s">
        <v>209</v>
      </c>
      <c r="J290" s="124"/>
      <c r="K290" s="124"/>
      <c r="L290" s="25">
        <v>205.6</v>
      </c>
      <c r="M290" s="25">
        <v>458.4</v>
      </c>
      <c r="N290" s="25">
        <v>457.2</v>
      </c>
      <c r="O290" s="25">
        <f>P290+Q290</f>
        <v>724.5</v>
      </c>
      <c r="P290" s="25">
        <v>724.5</v>
      </c>
      <c r="Q290" s="25">
        <v>0</v>
      </c>
      <c r="R290" s="25">
        <f>S290+T290</f>
        <v>717.8</v>
      </c>
      <c r="S290" s="25">
        <v>717.8</v>
      </c>
      <c r="T290" s="25">
        <v>0</v>
      </c>
      <c r="U290" s="25">
        <f>V290+W290</f>
        <v>725</v>
      </c>
      <c r="V290" s="25">
        <v>725</v>
      </c>
      <c r="W290" s="25">
        <v>0</v>
      </c>
    </row>
    <row r="291" spans="1:23" s="337" customFormat="1" ht="37.5">
      <c r="A291" s="12" t="s">
        <v>134</v>
      </c>
      <c r="B291" s="180" t="s">
        <v>135</v>
      </c>
      <c r="C291" s="457" t="s">
        <v>62</v>
      </c>
      <c r="D291" s="458"/>
      <c r="E291" s="458"/>
      <c r="F291" s="458"/>
      <c r="G291" s="458"/>
      <c r="H291" s="458"/>
      <c r="I291" s="458"/>
      <c r="J291" s="458"/>
      <c r="K291" s="459"/>
      <c r="L291" s="19">
        <f>SUM(L292,)</f>
        <v>11434.300000000001</v>
      </c>
      <c r="M291" s="19">
        <f t="shared" ref="M291:W291" si="128">SUM(M292,)</f>
        <v>11808</v>
      </c>
      <c r="N291" s="19">
        <f t="shared" si="128"/>
        <v>7950.0999999999985</v>
      </c>
      <c r="O291" s="19">
        <f t="shared" si="128"/>
        <v>11854</v>
      </c>
      <c r="P291" s="19">
        <f t="shared" si="128"/>
        <v>11854</v>
      </c>
      <c r="Q291" s="19">
        <f t="shared" si="128"/>
        <v>0</v>
      </c>
      <c r="R291" s="19">
        <f t="shared" si="128"/>
        <v>11744.6</v>
      </c>
      <c r="S291" s="19">
        <f t="shared" si="128"/>
        <v>11744.6</v>
      </c>
      <c r="T291" s="19">
        <f t="shared" si="128"/>
        <v>0</v>
      </c>
      <c r="U291" s="19">
        <f t="shared" si="128"/>
        <v>11862.2</v>
      </c>
      <c r="V291" s="19">
        <f t="shared" si="128"/>
        <v>11862.2</v>
      </c>
      <c r="W291" s="19">
        <f t="shared" si="128"/>
        <v>0</v>
      </c>
    </row>
    <row r="292" spans="1:23" s="337" customFormat="1">
      <c r="A292" s="634" t="s">
        <v>9</v>
      </c>
      <c r="B292" s="421" t="s">
        <v>67</v>
      </c>
      <c r="C292" s="421"/>
      <c r="D292" s="421"/>
      <c r="E292" s="421"/>
      <c r="F292" s="421"/>
      <c r="G292" s="421"/>
      <c r="H292" s="421"/>
      <c r="I292" s="421"/>
      <c r="J292" s="421"/>
      <c r="K292" s="421"/>
      <c r="L292" s="20">
        <f>L293+L298</f>
        <v>11434.300000000001</v>
      </c>
      <c r="M292" s="20">
        <f t="shared" ref="M292:W292" si="129">M293+M298</f>
        <v>11808</v>
      </c>
      <c r="N292" s="20">
        <f t="shared" si="129"/>
        <v>7950.0999999999985</v>
      </c>
      <c r="O292" s="20">
        <f t="shared" si="129"/>
        <v>11854</v>
      </c>
      <c r="P292" s="20">
        <f t="shared" si="129"/>
        <v>11854</v>
      </c>
      <c r="Q292" s="20">
        <f t="shared" si="129"/>
        <v>0</v>
      </c>
      <c r="R292" s="20">
        <f t="shared" si="129"/>
        <v>11744.6</v>
      </c>
      <c r="S292" s="20">
        <f t="shared" si="129"/>
        <v>11744.6</v>
      </c>
      <c r="T292" s="20">
        <f t="shared" si="129"/>
        <v>0</v>
      </c>
      <c r="U292" s="20">
        <f t="shared" si="129"/>
        <v>11862.2</v>
      </c>
      <c r="V292" s="20">
        <f t="shared" si="129"/>
        <v>11862.2</v>
      </c>
      <c r="W292" s="20">
        <f t="shared" si="129"/>
        <v>0</v>
      </c>
    </row>
    <row r="293" spans="1:23" s="337" customFormat="1" ht="19.5">
      <c r="A293" s="140" t="s">
        <v>57</v>
      </c>
      <c r="B293" s="229"/>
      <c r="C293" s="41"/>
      <c r="D293" s="218"/>
      <c r="E293" s="250"/>
      <c r="F293" s="250"/>
      <c r="G293" s="250"/>
      <c r="H293" s="250"/>
      <c r="I293" s="111"/>
      <c r="J293" s="41"/>
      <c r="K293" s="121"/>
      <c r="L293" s="22">
        <f>SUM(L294:L297)</f>
        <v>2921.6</v>
      </c>
      <c r="M293" s="22">
        <f>SUM(M294:M297)</f>
        <v>2703.2</v>
      </c>
      <c r="N293" s="22">
        <f>SUM(N294:N297)</f>
        <v>2118.1</v>
      </c>
      <c r="O293" s="67">
        <f>SUM(O294:O297)</f>
        <v>2873.3</v>
      </c>
      <c r="P293" s="22">
        <f>SUM(P294:P297)</f>
        <v>2873.3</v>
      </c>
      <c r="Q293" s="22"/>
      <c r="R293" s="67">
        <f>SUM(R294:R297)</f>
        <v>2846.8999999999996</v>
      </c>
      <c r="S293" s="22">
        <f>SUM(S294:S297)</f>
        <v>2846.8999999999996</v>
      </c>
      <c r="T293" s="22"/>
      <c r="U293" s="243">
        <f>SUM(U294:U297)</f>
        <v>2875.3</v>
      </c>
      <c r="V293" s="244">
        <f>SUM(V294:V297)</f>
        <v>2875.3</v>
      </c>
      <c r="W293" s="23"/>
    </row>
    <row r="294" spans="1:23" s="337" customFormat="1">
      <c r="A294" s="635" t="s">
        <v>10</v>
      </c>
      <c r="B294" s="612" t="s">
        <v>68</v>
      </c>
      <c r="C294" s="460" t="s">
        <v>378</v>
      </c>
      <c r="D294" s="226" t="s">
        <v>383</v>
      </c>
      <c r="E294" s="226" t="s">
        <v>92</v>
      </c>
      <c r="F294" s="226" t="s">
        <v>93</v>
      </c>
      <c r="G294" s="226" t="s">
        <v>114</v>
      </c>
      <c r="H294" s="543">
        <v>100</v>
      </c>
      <c r="I294" s="462" t="s">
        <v>199</v>
      </c>
      <c r="J294" s="465" t="s">
        <v>200</v>
      </c>
      <c r="K294" s="58"/>
      <c r="L294" s="37">
        <f>2327-6.1</f>
        <v>2320.9</v>
      </c>
      <c r="M294" s="37">
        <f>2349.8-74.8</f>
        <v>2275</v>
      </c>
      <c r="N294" s="37">
        <v>1795.1</v>
      </c>
      <c r="O294" s="245">
        <f>SUM(P294:Q294)</f>
        <v>2636.5</v>
      </c>
      <c r="P294" s="37">
        <v>2636.5</v>
      </c>
      <c r="Q294" s="37"/>
      <c r="R294" s="245">
        <f>SUM(S294:T294)</f>
        <v>2612.1999999999998</v>
      </c>
      <c r="S294" s="37">
        <v>2612.1999999999998</v>
      </c>
      <c r="T294" s="37"/>
      <c r="U294" s="245">
        <f>SUM(V294:W294)</f>
        <v>2638.4</v>
      </c>
      <c r="V294" s="37">
        <v>2638.4</v>
      </c>
      <c r="W294" s="131"/>
    </row>
    <row r="295" spans="1:23" s="337" customFormat="1">
      <c r="A295" s="636"/>
      <c r="B295" s="613"/>
      <c r="C295" s="461"/>
      <c r="D295" s="226" t="s">
        <v>383</v>
      </c>
      <c r="E295" s="226" t="s">
        <v>92</v>
      </c>
      <c r="F295" s="226" t="s">
        <v>93</v>
      </c>
      <c r="G295" s="226" t="s">
        <v>986</v>
      </c>
      <c r="H295" s="544"/>
      <c r="I295" s="463"/>
      <c r="J295" s="466"/>
      <c r="K295" s="58"/>
      <c r="L295" s="37">
        <v>80</v>
      </c>
      <c r="M295" s="37">
        <v>74.8</v>
      </c>
      <c r="N295" s="37">
        <v>74.8</v>
      </c>
      <c r="O295" s="245"/>
      <c r="P295" s="37">
        <v>0</v>
      </c>
      <c r="Q295" s="37"/>
      <c r="R295" s="245"/>
      <c r="S295" s="37">
        <v>0</v>
      </c>
      <c r="T295" s="37"/>
      <c r="U295" s="245"/>
      <c r="V295" s="37">
        <v>0</v>
      </c>
      <c r="W295" s="131"/>
    </row>
    <row r="296" spans="1:23" s="337" customFormat="1">
      <c r="A296" s="635" t="s">
        <v>11</v>
      </c>
      <c r="B296" s="612" t="s">
        <v>69</v>
      </c>
      <c r="C296" s="468" t="s">
        <v>379</v>
      </c>
      <c r="D296" s="226" t="s">
        <v>349</v>
      </c>
      <c r="E296" s="226" t="s">
        <v>92</v>
      </c>
      <c r="F296" s="226" t="s">
        <v>93</v>
      </c>
      <c r="G296" s="226" t="s">
        <v>114</v>
      </c>
      <c r="H296" s="543">
        <v>200</v>
      </c>
      <c r="I296" s="463"/>
      <c r="J296" s="466"/>
      <c r="K296" s="125"/>
      <c r="L296" s="37">
        <v>270.10000000000002</v>
      </c>
      <c r="M296" s="37">
        <v>269.7</v>
      </c>
      <c r="N296" s="37">
        <v>164.5</v>
      </c>
      <c r="O296" s="245">
        <f>SUM(P296:Q296)</f>
        <v>236.8</v>
      </c>
      <c r="P296" s="37">
        <v>236.8</v>
      </c>
      <c r="Q296" s="37"/>
      <c r="R296" s="245">
        <f>SUM(S296:T296)</f>
        <v>234.7</v>
      </c>
      <c r="S296" s="37">
        <v>234.7</v>
      </c>
      <c r="T296" s="37"/>
      <c r="U296" s="245">
        <f>SUM(V296:W296)</f>
        <v>236.9</v>
      </c>
      <c r="V296" s="37">
        <v>236.9</v>
      </c>
      <c r="W296" s="131"/>
    </row>
    <row r="297" spans="1:23" s="337" customFormat="1">
      <c r="A297" s="636"/>
      <c r="B297" s="613"/>
      <c r="C297" s="469"/>
      <c r="D297" s="226" t="s">
        <v>349</v>
      </c>
      <c r="E297" s="226" t="s">
        <v>92</v>
      </c>
      <c r="F297" s="226" t="s">
        <v>83</v>
      </c>
      <c r="G297" s="226" t="s">
        <v>124</v>
      </c>
      <c r="H297" s="544"/>
      <c r="I297" s="464"/>
      <c r="J297" s="467"/>
      <c r="K297" s="125"/>
      <c r="L297" s="37">
        <v>250.6</v>
      </c>
      <c r="M297" s="37">
        <v>83.7</v>
      </c>
      <c r="N297" s="37">
        <v>83.7</v>
      </c>
      <c r="O297" s="245"/>
      <c r="P297" s="37">
        <v>0</v>
      </c>
      <c r="Q297" s="37"/>
      <c r="R297" s="245"/>
      <c r="S297" s="37">
        <v>0</v>
      </c>
      <c r="T297" s="37"/>
      <c r="U297" s="245"/>
      <c r="V297" s="37">
        <v>0</v>
      </c>
      <c r="W297" s="131"/>
    </row>
    <row r="298" spans="1:23" s="337" customFormat="1">
      <c r="A298" s="507" t="s">
        <v>88</v>
      </c>
      <c r="B298" s="416"/>
      <c r="C298" s="416"/>
      <c r="D298" s="416"/>
      <c r="E298" s="416"/>
      <c r="F298" s="416"/>
      <c r="G298" s="416"/>
      <c r="H298" s="416"/>
      <c r="I298" s="416"/>
      <c r="J298" s="416"/>
      <c r="K298" s="416"/>
      <c r="L298" s="22">
        <f t="shared" ref="L298:W298" si="130">L299+L303+L314</f>
        <v>8512.7000000000007</v>
      </c>
      <c r="M298" s="22">
        <f t="shared" si="130"/>
        <v>9104.8000000000011</v>
      </c>
      <c r="N298" s="22">
        <f t="shared" si="130"/>
        <v>5831.9999999999991</v>
      </c>
      <c r="O298" s="22">
        <f t="shared" si="130"/>
        <v>8980.7000000000007</v>
      </c>
      <c r="P298" s="22">
        <f t="shared" si="130"/>
        <v>8980.7000000000007</v>
      </c>
      <c r="Q298" s="22">
        <f t="shared" si="130"/>
        <v>0</v>
      </c>
      <c r="R298" s="22">
        <f t="shared" si="130"/>
        <v>8897.7000000000007</v>
      </c>
      <c r="S298" s="22">
        <f t="shared" si="130"/>
        <v>8897.7000000000007</v>
      </c>
      <c r="T298" s="22">
        <f t="shared" si="130"/>
        <v>0</v>
      </c>
      <c r="U298" s="22">
        <f t="shared" si="130"/>
        <v>8986.9</v>
      </c>
      <c r="V298" s="22">
        <f t="shared" si="130"/>
        <v>8986.9</v>
      </c>
      <c r="W298" s="22">
        <f t="shared" si="130"/>
        <v>0</v>
      </c>
    </row>
    <row r="299" spans="1:23" s="337" customFormat="1" ht="19.5">
      <c r="A299" s="625" t="s">
        <v>12</v>
      </c>
      <c r="B299" s="508" t="s">
        <v>58</v>
      </c>
      <c r="C299" s="509"/>
      <c r="D299" s="509"/>
      <c r="E299" s="509"/>
      <c r="F299" s="509"/>
      <c r="G299" s="510"/>
      <c r="H299" s="246">
        <v>100</v>
      </c>
      <c r="I299" s="247"/>
      <c r="J299" s="248"/>
      <c r="K299" s="248"/>
      <c r="L299" s="67">
        <f>SUM(L301:L302)</f>
        <v>7338.2</v>
      </c>
      <c r="M299" s="67">
        <f t="shared" ref="M299:W299" si="131">SUM(M301:M302)</f>
        <v>6863.4000000000005</v>
      </c>
      <c r="N299" s="67">
        <f t="shared" si="131"/>
        <v>4251.7999999999993</v>
      </c>
      <c r="O299" s="67">
        <f t="shared" si="131"/>
        <v>8010.1</v>
      </c>
      <c r="P299" s="67">
        <f t="shared" si="131"/>
        <v>8010.1</v>
      </c>
      <c r="Q299" s="67">
        <f t="shared" si="131"/>
        <v>0</v>
      </c>
      <c r="R299" s="67">
        <f t="shared" si="131"/>
        <v>7935.9</v>
      </c>
      <c r="S299" s="67">
        <f t="shared" si="131"/>
        <v>7935.9</v>
      </c>
      <c r="T299" s="67">
        <f t="shared" si="131"/>
        <v>0</v>
      </c>
      <c r="U299" s="67">
        <f t="shared" si="131"/>
        <v>8015.8</v>
      </c>
      <c r="V299" s="67">
        <f t="shared" si="131"/>
        <v>8015.8</v>
      </c>
      <c r="W299" s="67">
        <f t="shared" si="131"/>
        <v>0</v>
      </c>
    </row>
    <row r="300" spans="1:23" s="337" customFormat="1">
      <c r="A300" s="24" t="s">
        <v>48</v>
      </c>
      <c r="B300" s="511" t="s">
        <v>472</v>
      </c>
      <c r="C300" s="512"/>
      <c r="D300" s="512"/>
      <c r="E300" s="512"/>
      <c r="F300" s="512"/>
      <c r="G300" s="513"/>
      <c r="H300" s="250">
        <v>100</v>
      </c>
      <c r="I300" s="111"/>
      <c r="J300" s="121"/>
      <c r="K300" s="121"/>
      <c r="L300" s="25">
        <f>L301+L302</f>
        <v>7338.2</v>
      </c>
      <c r="M300" s="25">
        <f t="shared" ref="M300:W300" si="132">M301+M302</f>
        <v>6863.4000000000005</v>
      </c>
      <c r="N300" s="25">
        <f t="shared" si="132"/>
        <v>4251.7999999999993</v>
      </c>
      <c r="O300" s="59">
        <f t="shared" si="132"/>
        <v>8010.1</v>
      </c>
      <c r="P300" s="25">
        <f t="shared" si="132"/>
        <v>8010.1</v>
      </c>
      <c r="Q300" s="25">
        <f t="shared" si="132"/>
        <v>0</v>
      </c>
      <c r="R300" s="59">
        <f t="shared" si="132"/>
        <v>7935.9</v>
      </c>
      <c r="S300" s="25">
        <f t="shared" si="132"/>
        <v>7935.9</v>
      </c>
      <c r="T300" s="25">
        <f t="shared" si="132"/>
        <v>0</v>
      </c>
      <c r="U300" s="59">
        <f t="shared" si="132"/>
        <v>8015.8</v>
      </c>
      <c r="V300" s="25">
        <f t="shared" si="132"/>
        <v>8015.8</v>
      </c>
      <c r="W300" s="25">
        <f t="shared" si="132"/>
        <v>0</v>
      </c>
    </row>
    <row r="301" spans="1:23">
      <c r="A301" s="637"/>
      <c r="B301" s="185"/>
      <c r="C301" s="342"/>
      <c r="D301" s="226" t="s">
        <v>403</v>
      </c>
      <c r="E301" s="226" t="s">
        <v>95</v>
      </c>
      <c r="F301" s="226" t="s">
        <v>80</v>
      </c>
      <c r="G301" s="226" t="s">
        <v>96</v>
      </c>
      <c r="H301" s="250">
        <v>100</v>
      </c>
      <c r="I301" s="343"/>
      <c r="J301" s="188"/>
      <c r="K301" s="121"/>
      <c r="L301" s="37">
        <v>6959.4</v>
      </c>
      <c r="M301" s="37">
        <v>6335.6</v>
      </c>
      <c r="N301" s="37">
        <f>5181.9-1225.3</f>
        <v>3956.5999999999995</v>
      </c>
      <c r="O301" s="245">
        <f>SUM(P301:Q301)</f>
        <v>7272.8</v>
      </c>
      <c r="P301" s="37">
        <v>7272.8</v>
      </c>
      <c r="Q301" s="37"/>
      <c r="R301" s="245">
        <f>SUM(S301:T301)</f>
        <v>7205.4</v>
      </c>
      <c r="S301" s="37">
        <v>7205.4</v>
      </c>
      <c r="T301" s="37"/>
      <c r="U301" s="245">
        <f>SUM(V301:W301)</f>
        <v>7278</v>
      </c>
      <c r="V301" s="37">
        <v>7278</v>
      </c>
      <c r="W301" s="37"/>
    </row>
    <row r="302" spans="1:23" ht="409.5">
      <c r="A302" s="638" t="s">
        <v>237</v>
      </c>
      <c r="B302" s="172" t="s">
        <v>238</v>
      </c>
      <c r="C302" s="344" t="s">
        <v>324</v>
      </c>
      <c r="D302" s="226" t="s">
        <v>393</v>
      </c>
      <c r="E302" s="226" t="s">
        <v>98</v>
      </c>
      <c r="F302" s="226" t="s">
        <v>98</v>
      </c>
      <c r="G302" s="226" t="s">
        <v>100</v>
      </c>
      <c r="H302" s="250">
        <v>100</v>
      </c>
      <c r="I302" s="149" t="s">
        <v>1027</v>
      </c>
      <c r="J302" s="169" t="s">
        <v>204</v>
      </c>
      <c r="K302" s="121"/>
      <c r="L302" s="37">
        <v>378.8</v>
      </c>
      <c r="M302" s="37">
        <v>527.79999999999995</v>
      </c>
      <c r="N302" s="37">
        <v>295.2</v>
      </c>
      <c r="O302" s="245">
        <f>SUM(P302:Q302)</f>
        <v>737.3</v>
      </c>
      <c r="P302" s="37">
        <v>737.3</v>
      </c>
      <c r="Q302" s="37"/>
      <c r="R302" s="245">
        <f>SUM(S302:T302)</f>
        <v>730.5</v>
      </c>
      <c r="S302" s="37">
        <v>730.5</v>
      </c>
      <c r="T302" s="37"/>
      <c r="U302" s="245">
        <f>SUM(V302:W302)</f>
        <v>737.8</v>
      </c>
      <c r="V302" s="37">
        <v>737.8</v>
      </c>
      <c r="W302" s="37"/>
    </row>
    <row r="303" spans="1:23" ht="19.5">
      <c r="A303" s="24" t="s">
        <v>13</v>
      </c>
      <c r="B303" s="508" t="s">
        <v>32</v>
      </c>
      <c r="C303" s="509"/>
      <c r="D303" s="509"/>
      <c r="E303" s="509"/>
      <c r="F303" s="509"/>
      <c r="G303" s="510"/>
      <c r="H303" s="246">
        <v>200</v>
      </c>
      <c r="I303" s="247"/>
      <c r="J303" s="247"/>
      <c r="K303" s="249"/>
      <c r="L303" s="67">
        <f>L304</f>
        <v>1170</v>
      </c>
      <c r="M303" s="67">
        <f t="shared" ref="M303:W303" si="133">M304</f>
        <v>2236</v>
      </c>
      <c r="N303" s="67">
        <f t="shared" si="133"/>
        <v>1576.8000000000002</v>
      </c>
      <c r="O303" s="67">
        <f t="shared" si="133"/>
        <v>948.19999999999993</v>
      </c>
      <c r="P303" s="67">
        <f t="shared" si="133"/>
        <v>948.19999999999993</v>
      </c>
      <c r="Q303" s="67">
        <f t="shared" si="133"/>
        <v>0</v>
      </c>
      <c r="R303" s="67">
        <f t="shared" si="133"/>
        <v>939.59999999999991</v>
      </c>
      <c r="S303" s="67">
        <f t="shared" si="133"/>
        <v>939.59999999999991</v>
      </c>
      <c r="T303" s="67">
        <f t="shared" si="133"/>
        <v>0</v>
      </c>
      <c r="U303" s="67">
        <f t="shared" si="133"/>
        <v>948.7</v>
      </c>
      <c r="V303" s="67">
        <f t="shared" si="133"/>
        <v>948.7</v>
      </c>
      <c r="W303" s="67">
        <f t="shared" si="133"/>
        <v>0</v>
      </c>
    </row>
    <row r="304" spans="1:23">
      <c r="A304" s="24" t="s">
        <v>49</v>
      </c>
      <c r="B304" s="511" t="s">
        <v>473</v>
      </c>
      <c r="C304" s="512"/>
      <c r="D304" s="512"/>
      <c r="E304" s="512"/>
      <c r="F304" s="512"/>
      <c r="G304" s="513"/>
      <c r="H304" s="250">
        <v>200</v>
      </c>
      <c r="I304" s="111"/>
      <c r="J304" s="111"/>
      <c r="K304" s="125"/>
      <c r="L304" s="25">
        <f t="shared" ref="L304:W304" si="134">SUM(L305:L313)</f>
        <v>1170</v>
      </c>
      <c r="M304" s="25">
        <f t="shared" si="134"/>
        <v>2236</v>
      </c>
      <c r="N304" s="25">
        <f t="shared" si="134"/>
        <v>1576.8000000000002</v>
      </c>
      <c r="O304" s="25">
        <f t="shared" si="134"/>
        <v>948.19999999999993</v>
      </c>
      <c r="P304" s="25">
        <f t="shared" si="134"/>
        <v>948.19999999999993</v>
      </c>
      <c r="Q304" s="25">
        <f t="shared" si="134"/>
        <v>0</v>
      </c>
      <c r="R304" s="25">
        <f t="shared" si="134"/>
        <v>939.59999999999991</v>
      </c>
      <c r="S304" s="25">
        <f t="shared" si="134"/>
        <v>939.59999999999991</v>
      </c>
      <c r="T304" s="25">
        <f t="shared" si="134"/>
        <v>0</v>
      </c>
      <c r="U304" s="25">
        <f t="shared" si="134"/>
        <v>948.7</v>
      </c>
      <c r="V304" s="25">
        <f t="shared" si="134"/>
        <v>948.7</v>
      </c>
      <c r="W304" s="25">
        <f t="shared" si="134"/>
        <v>0</v>
      </c>
    </row>
    <row r="305" spans="1:23" ht="93.75">
      <c r="A305" s="639" t="s">
        <v>239</v>
      </c>
      <c r="B305" s="229" t="s">
        <v>236</v>
      </c>
      <c r="C305" s="465" t="s">
        <v>408</v>
      </c>
      <c r="D305" s="226" t="s">
        <v>403</v>
      </c>
      <c r="E305" s="226" t="s">
        <v>95</v>
      </c>
      <c r="F305" s="226" t="s">
        <v>80</v>
      </c>
      <c r="G305" s="226" t="s">
        <v>96</v>
      </c>
      <c r="H305" s="250">
        <v>200</v>
      </c>
      <c r="I305" s="462" t="s">
        <v>1028</v>
      </c>
      <c r="J305" s="462" t="s">
        <v>241</v>
      </c>
      <c r="K305" s="125"/>
      <c r="L305" s="25">
        <v>692.8</v>
      </c>
      <c r="M305" s="25">
        <v>596.20000000000005</v>
      </c>
      <c r="N305" s="25">
        <v>376.6</v>
      </c>
      <c r="O305" s="59">
        <f t="shared" ref="O305:O316" si="135">SUM(P305:Q305)</f>
        <v>532.79999999999995</v>
      </c>
      <c r="P305" s="25">
        <v>532.79999999999995</v>
      </c>
      <c r="Q305" s="25"/>
      <c r="R305" s="59">
        <f t="shared" ref="R305:R313" si="136">SUM(S305:T305)</f>
        <v>528</v>
      </c>
      <c r="S305" s="25">
        <v>528</v>
      </c>
      <c r="T305" s="25"/>
      <c r="U305" s="345">
        <f>SUM(V305:W305)</f>
        <v>533.1</v>
      </c>
      <c r="V305" s="77">
        <v>533.1</v>
      </c>
      <c r="W305" s="26"/>
    </row>
    <row r="306" spans="1:23" ht="112.5">
      <c r="A306" s="639" t="s">
        <v>242</v>
      </c>
      <c r="B306" s="229" t="s">
        <v>243</v>
      </c>
      <c r="C306" s="467"/>
      <c r="D306" s="226" t="s">
        <v>403</v>
      </c>
      <c r="E306" s="226" t="s">
        <v>95</v>
      </c>
      <c r="F306" s="226" t="s">
        <v>80</v>
      </c>
      <c r="G306" s="226" t="s">
        <v>184</v>
      </c>
      <c r="H306" s="250">
        <v>200</v>
      </c>
      <c r="I306" s="514"/>
      <c r="J306" s="514"/>
      <c r="K306" s="125"/>
      <c r="L306" s="25">
        <v>2.8</v>
      </c>
      <c r="M306" s="25">
        <v>2.8</v>
      </c>
      <c r="N306" s="25">
        <v>2.7</v>
      </c>
      <c r="O306" s="59">
        <f t="shared" si="135"/>
        <v>2.5</v>
      </c>
      <c r="P306" s="25">
        <v>2.5</v>
      </c>
      <c r="Q306" s="25"/>
      <c r="R306" s="59">
        <f t="shared" si="136"/>
        <v>2.5</v>
      </c>
      <c r="S306" s="25">
        <v>2.5</v>
      </c>
      <c r="T306" s="25"/>
      <c r="U306" s="345">
        <f>SUM(V306:W306)</f>
        <v>2.5</v>
      </c>
      <c r="V306" s="77">
        <v>2.5</v>
      </c>
      <c r="W306" s="26"/>
    </row>
    <row r="307" spans="1:23" ht="409.5">
      <c r="A307" s="639" t="s">
        <v>244</v>
      </c>
      <c r="B307" s="229" t="s">
        <v>246</v>
      </c>
      <c r="C307" s="124" t="s">
        <v>325</v>
      </c>
      <c r="D307" s="226" t="s">
        <v>394</v>
      </c>
      <c r="E307" s="226" t="s">
        <v>93</v>
      </c>
      <c r="F307" s="226" t="s">
        <v>97</v>
      </c>
      <c r="G307" s="226" t="s">
        <v>474</v>
      </c>
      <c r="H307" s="250">
        <v>200</v>
      </c>
      <c r="I307" s="61" t="s">
        <v>1029</v>
      </c>
      <c r="J307" s="122" t="s">
        <v>247</v>
      </c>
      <c r="K307" s="125"/>
      <c r="L307" s="25">
        <v>17.899999999999999</v>
      </c>
      <c r="M307" s="25">
        <v>70.3</v>
      </c>
      <c r="N307" s="25">
        <v>70.3</v>
      </c>
      <c r="O307" s="59">
        <f t="shared" si="135"/>
        <v>26.3</v>
      </c>
      <c r="P307" s="25">
        <v>26.3</v>
      </c>
      <c r="Q307" s="25"/>
      <c r="R307" s="59">
        <f t="shared" si="136"/>
        <v>26.1</v>
      </c>
      <c r="S307" s="25">
        <v>26.1</v>
      </c>
      <c r="T307" s="25"/>
      <c r="U307" s="345">
        <f>SUM(V307:W307)</f>
        <v>26.3</v>
      </c>
      <c r="V307" s="77">
        <v>26.3</v>
      </c>
      <c r="W307" s="26"/>
    </row>
    <row r="308" spans="1:23" ht="93.75">
      <c r="A308" s="639" t="s">
        <v>245</v>
      </c>
      <c r="B308" s="229" t="s">
        <v>475</v>
      </c>
      <c r="C308" s="465" t="s">
        <v>409</v>
      </c>
      <c r="D308" s="226" t="s">
        <v>395</v>
      </c>
      <c r="E308" s="226" t="s">
        <v>98</v>
      </c>
      <c r="F308" s="226" t="s">
        <v>95</v>
      </c>
      <c r="G308" s="226" t="s">
        <v>225</v>
      </c>
      <c r="H308" s="250">
        <v>200</v>
      </c>
      <c r="I308" s="462" t="s">
        <v>205</v>
      </c>
      <c r="J308" s="462" t="s">
        <v>476</v>
      </c>
      <c r="K308" s="125"/>
      <c r="L308" s="25">
        <v>95</v>
      </c>
      <c r="M308" s="25">
        <v>98</v>
      </c>
      <c r="N308" s="25">
        <v>98</v>
      </c>
      <c r="O308" s="59">
        <f t="shared" si="135"/>
        <v>90.5</v>
      </c>
      <c r="P308" s="25">
        <v>90.5</v>
      </c>
      <c r="Q308" s="25"/>
      <c r="R308" s="59">
        <f t="shared" si="136"/>
        <v>89.7</v>
      </c>
      <c r="S308" s="25">
        <v>89.7</v>
      </c>
      <c r="T308" s="25"/>
      <c r="U308" s="59">
        <f t="shared" ref="U308:U313" si="137">SUM(V308:W308)</f>
        <v>90.6</v>
      </c>
      <c r="V308" s="25">
        <v>90.6</v>
      </c>
      <c r="W308" s="25"/>
    </row>
    <row r="309" spans="1:23" ht="75">
      <c r="A309" s="639" t="s">
        <v>248</v>
      </c>
      <c r="B309" s="229" t="s">
        <v>251</v>
      </c>
      <c r="C309" s="466"/>
      <c r="D309" s="226" t="s">
        <v>395</v>
      </c>
      <c r="E309" s="226" t="s">
        <v>98</v>
      </c>
      <c r="F309" s="226" t="s">
        <v>95</v>
      </c>
      <c r="G309" s="226" t="s">
        <v>126</v>
      </c>
      <c r="H309" s="250">
        <v>200</v>
      </c>
      <c r="I309" s="515"/>
      <c r="J309" s="516"/>
      <c r="K309" s="125"/>
      <c r="L309" s="25">
        <v>76.5</v>
      </c>
      <c r="M309" s="25">
        <v>34.700000000000003</v>
      </c>
      <c r="N309" s="25">
        <v>25.2</v>
      </c>
      <c r="O309" s="59">
        <f t="shared" si="135"/>
        <v>146.6</v>
      </c>
      <c r="P309" s="25">
        <v>146.6</v>
      </c>
      <c r="Q309" s="25"/>
      <c r="R309" s="59">
        <f t="shared" si="136"/>
        <v>145.19999999999999</v>
      </c>
      <c r="S309" s="25">
        <v>145.19999999999999</v>
      </c>
      <c r="T309" s="25"/>
      <c r="U309" s="59">
        <f t="shared" si="137"/>
        <v>146.69999999999999</v>
      </c>
      <c r="V309" s="25">
        <v>146.69999999999999</v>
      </c>
      <c r="W309" s="25"/>
    </row>
    <row r="310" spans="1:23" ht="75">
      <c r="A310" s="639" t="s">
        <v>250</v>
      </c>
      <c r="B310" s="229" t="s">
        <v>301</v>
      </c>
      <c r="C310" s="466"/>
      <c r="D310" s="226" t="s">
        <v>395</v>
      </c>
      <c r="E310" s="226" t="s">
        <v>98</v>
      </c>
      <c r="F310" s="226" t="s">
        <v>95</v>
      </c>
      <c r="G310" s="226" t="s">
        <v>226</v>
      </c>
      <c r="H310" s="250">
        <v>200</v>
      </c>
      <c r="I310" s="515"/>
      <c r="J310" s="516"/>
      <c r="K310" s="125"/>
      <c r="L310" s="25">
        <v>0</v>
      </c>
      <c r="M310" s="25">
        <v>3.9</v>
      </c>
      <c r="N310" s="25">
        <v>0</v>
      </c>
      <c r="O310" s="59">
        <f t="shared" si="135"/>
        <v>12.4</v>
      </c>
      <c r="P310" s="25">
        <v>12.4</v>
      </c>
      <c r="Q310" s="25"/>
      <c r="R310" s="59">
        <f t="shared" si="136"/>
        <v>12.3</v>
      </c>
      <c r="S310" s="25">
        <v>12.3</v>
      </c>
      <c r="T310" s="25"/>
      <c r="U310" s="59">
        <f t="shared" si="137"/>
        <v>12.4</v>
      </c>
      <c r="V310" s="25">
        <v>12.4</v>
      </c>
      <c r="W310" s="25"/>
    </row>
    <row r="311" spans="1:23" ht="75">
      <c r="A311" s="639" t="s">
        <v>252</v>
      </c>
      <c r="B311" s="229" t="s">
        <v>254</v>
      </c>
      <c r="C311" s="466"/>
      <c r="D311" s="226" t="s">
        <v>395</v>
      </c>
      <c r="E311" s="226" t="s">
        <v>98</v>
      </c>
      <c r="F311" s="226" t="s">
        <v>95</v>
      </c>
      <c r="G311" s="226" t="s">
        <v>178</v>
      </c>
      <c r="H311" s="250">
        <v>200</v>
      </c>
      <c r="I311" s="515"/>
      <c r="J311" s="514"/>
      <c r="K311" s="125"/>
      <c r="L311" s="25">
        <v>0</v>
      </c>
      <c r="M311" s="25">
        <v>13.4</v>
      </c>
      <c r="N311" s="25">
        <v>9.1999999999999993</v>
      </c>
      <c r="O311" s="59">
        <f t="shared" si="135"/>
        <v>43.9</v>
      </c>
      <c r="P311" s="25">
        <v>43.9</v>
      </c>
      <c r="Q311" s="25"/>
      <c r="R311" s="59">
        <f t="shared" si="136"/>
        <v>43.5</v>
      </c>
      <c r="S311" s="25">
        <v>43.5</v>
      </c>
      <c r="T311" s="25"/>
      <c r="U311" s="59">
        <f t="shared" si="137"/>
        <v>43.9</v>
      </c>
      <c r="V311" s="25">
        <v>43.9</v>
      </c>
      <c r="W311" s="25"/>
    </row>
    <row r="312" spans="1:23" ht="75">
      <c r="A312" s="639" t="s">
        <v>253</v>
      </c>
      <c r="B312" s="229" t="s">
        <v>254</v>
      </c>
      <c r="C312" s="466"/>
      <c r="D312" s="226" t="s">
        <v>395</v>
      </c>
      <c r="E312" s="226" t="s">
        <v>98</v>
      </c>
      <c r="F312" s="226" t="s">
        <v>95</v>
      </c>
      <c r="G312" s="226" t="s">
        <v>1010</v>
      </c>
      <c r="H312" s="250">
        <v>200</v>
      </c>
      <c r="I312" s="515"/>
      <c r="J312" s="144"/>
      <c r="K312" s="125"/>
      <c r="L312" s="25">
        <v>200</v>
      </c>
      <c r="M312" s="25">
        <v>1340</v>
      </c>
      <c r="N312" s="25">
        <v>947.6</v>
      </c>
      <c r="O312" s="59">
        <f t="shared" si="135"/>
        <v>0</v>
      </c>
      <c r="P312" s="25">
        <v>0</v>
      </c>
      <c r="Q312" s="25"/>
      <c r="R312" s="59">
        <f t="shared" si="136"/>
        <v>0</v>
      </c>
      <c r="S312" s="25">
        <v>0</v>
      </c>
      <c r="T312" s="25"/>
      <c r="U312" s="59">
        <f t="shared" si="137"/>
        <v>0</v>
      </c>
      <c r="V312" s="25">
        <v>0</v>
      </c>
      <c r="W312" s="25"/>
    </row>
    <row r="313" spans="1:23" ht="409.5">
      <c r="A313" s="639" t="s">
        <v>255</v>
      </c>
      <c r="B313" s="229" t="s">
        <v>477</v>
      </c>
      <c r="C313" s="344" t="s">
        <v>324</v>
      </c>
      <c r="D313" s="226" t="s">
        <v>393</v>
      </c>
      <c r="E313" s="226" t="s">
        <v>98</v>
      </c>
      <c r="F313" s="226" t="s">
        <v>98</v>
      </c>
      <c r="G313" s="226" t="s">
        <v>100</v>
      </c>
      <c r="H313" s="250">
        <v>200</v>
      </c>
      <c r="I313" s="122" t="s">
        <v>1030</v>
      </c>
      <c r="J313" s="122" t="s">
        <v>206</v>
      </c>
      <c r="K313" s="125"/>
      <c r="L313" s="25">
        <v>85</v>
      </c>
      <c r="M313" s="25">
        <v>76.7</v>
      </c>
      <c r="N313" s="25">
        <v>47.2</v>
      </c>
      <c r="O313" s="59">
        <f t="shared" si="135"/>
        <v>93.2</v>
      </c>
      <c r="P313" s="25">
        <v>93.2</v>
      </c>
      <c r="Q313" s="25"/>
      <c r="R313" s="59">
        <f t="shared" si="136"/>
        <v>92.3</v>
      </c>
      <c r="S313" s="25">
        <v>92.3</v>
      </c>
      <c r="T313" s="25"/>
      <c r="U313" s="59">
        <f t="shared" si="137"/>
        <v>93.2</v>
      </c>
      <c r="V313" s="25">
        <v>93.2</v>
      </c>
      <c r="W313" s="25"/>
    </row>
    <row r="314" spans="1:23">
      <c r="A314" s="132" t="s">
        <v>263</v>
      </c>
      <c r="B314" s="517" t="s">
        <v>31</v>
      </c>
      <c r="C314" s="518"/>
      <c r="D314" s="518"/>
      <c r="E314" s="518"/>
      <c r="F314" s="518"/>
      <c r="G314" s="519"/>
      <c r="H314" s="257">
        <v>800</v>
      </c>
      <c r="I314" s="136"/>
      <c r="J314" s="111"/>
      <c r="K314" s="125"/>
      <c r="L314" s="22">
        <f>L315</f>
        <v>4.5</v>
      </c>
      <c r="M314" s="22">
        <f t="shared" ref="M314:W315" si="138">M315</f>
        <v>5.4</v>
      </c>
      <c r="N314" s="22">
        <f t="shared" si="138"/>
        <v>3.4</v>
      </c>
      <c r="O314" s="22">
        <f t="shared" si="138"/>
        <v>22.4</v>
      </c>
      <c r="P314" s="22">
        <f t="shared" si="138"/>
        <v>22.4</v>
      </c>
      <c r="Q314" s="22">
        <f t="shared" si="138"/>
        <v>0</v>
      </c>
      <c r="R314" s="22">
        <f t="shared" si="138"/>
        <v>22.2</v>
      </c>
      <c r="S314" s="22">
        <f t="shared" si="138"/>
        <v>22.2</v>
      </c>
      <c r="T314" s="22">
        <f t="shared" si="138"/>
        <v>0</v>
      </c>
      <c r="U314" s="22">
        <f t="shared" si="138"/>
        <v>22.4</v>
      </c>
      <c r="V314" s="22">
        <f t="shared" si="138"/>
        <v>22.4</v>
      </c>
      <c r="W314" s="22">
        <f t="shared" si="138"/>
        <v>0</v>
      </c>
    </row>
    <row r="315" spans="1:23">
      <c r="A315" s="24" t="s">
        <v>51</v>
      </c>
      <c r="B315" s="511" t="s">
        <v>478</v>
      </c>
      <c r="C315" s="512"/>
      <c r="D315" s="512"/>
      <c r="E315" s="512"/>
      <c r="F315" s="512"/>
      <c r="G315" s="513"/>
      <c r="H315" s="250">
        <v>800</v>
      </c>
      <c r="I315" s="111"/>
      <c r="J315" s="111"/>
      <c r="K315" s="125"/>
      <c r="L315" s="25">
        <f>L316</f>
        <v>4.5</v>
      </c>
      <c r="M315" s="25">
        <f t="shared" si="138"/>
        <v>5.4</v>
      </c>
      <c r="N315" s="25">
        <f t="shared" si="138"/>
        <v>3.4</v>
      </c>
      <c r="O315" s="25">
        <f t="shared" si="138"/>
        <v>22.4</v>
      </c>
      <c r="P315" s="25">
        <f t="shared" si="138"/>
        <v>22.4</v>
      </c>
      <c r="Q315" s="25">
        <f t="shared" si="138"/>
        <v>0</v>
      </c>
      <c r="R315" s="25">
        <f t="shared" si="138"/>
        <v>22.2</v>
      </c>
      <c r="S315" s="25">
        <f t="shared" si="138"/>
        <v>22.2</v>
      </c>
      <c r="T315" s="25">
        <f t="shared" si="138"/>
        <v>0</v>
      </c>
      <c r="U315" s="25">
        <f t="shared" si="138"/>
        <v>22.4</v>
      </c>
      <c r="V315" s="25">
        <f t="shared" si="138"/>
        <v>22.4</v>
      </c>
      <c r="W315" s="25">
        <f t="shared" si="138"/>
        <v>0</v>
      </c>
    </row>
    <row r="316" spans="1:23" ht="281.25">
      <c r="A316" s="24" t="s">
        <v>191</v>
      </c>
      <c r="B316" s="229" t="s">
        <v>257</v>
      </c>
      <c r="C316" s="124" t="s">
        <v>408</v>
      </c>
      <c r="D316" s="226" t="s">
        <v>403</v>
      </c>
      <c r="E316" s="226" t="s">
        <v>95</v>
      </c>
      <c r="F316" s="226" t="s">
        <v>80</v>
      </c>
      <c r="G316" s="226" t="s">
        <v>96</v>
      </c>
      <c r="H316" s="250">
        <v>800</v>
      </c>
      <c r="I316" s="122" t="s">
        <v>207</v>
      </c>
      <c r="J316" s="122" t="s">
        <v>105</v>
      </c>
      <c r="K316" s="121"/>
      <c r="L316" s="25">
        <v>4.5</v>
      </c>
      <c r="M316" s="25">
        <v>5.4</v>
      </c>
      <c r="N316" s="25">
        <v>3.4</v>
      </c>
      <c r="O316" s="59">
        <f t="shared" si="135"/>
        <v>22.4</v>
      </c>
      <c r="P316" s="25">
        <v>22.4</v>
      </c>
      <c r="Q316" s="25"/>
      <c r="R316" s="59">
        <f>SUM(S316:T316)</f>
        <v>22.2</v>
      </c>
      <c r="S316" s="25">
        <v>22.2</v>
      </c>
      <c r="T316" s="25"/>
      <c r="U316" s="59">
        <f>SUM(V316:W316)</f>
        <v>22.4</v>
      </c>
      <c r="V316" s="25">
        <v>22.4</v>
      </c>
      <c r="W316" s="26"/>
    </row>
    <row r="317" spans="1:23" ht="56.25">
      <c r="A317" s="640" t="s">
        <v>136</v>
      </c>
      <c r="B317" s="396" t="s">
        <v>315</v>
      </c>
      <c r="C317" s="8"/>
      <c r="D317" s="644"/>
      <c r="E317" s="644"/>
      <c r="F317" s="644"/>
      <c r="G317" s="644"/>
      <c r="H317" s="644"/>
      <c r="I317" s="8"/>
      <c r="J317" s="8"/>
      <c r="K317" s="8" t="s">
        <v>62</v>
      </c>
      <c r="L317" s="19">
        <f>SUM(L318)</f>
        <v>10157.948</v>
      </c>
      <c r="M317" s="19">
        <f t="shared" ref="M317:W317" si="139">SUM(M318)</f>
        <v>10982.009999999998</v>
      </c>
      <c r="N317" s="19">
        <f t="shared" si="139"/>
        <v>6924.23</v>
      </c>
      <c r="O317" s="19">
        <f>SUM(O318)</f>
        <v>11855</v>
      </c>
      <c r="P317" s="19">
        <f t="shared" si="139"/>
        <v>11855</v>
      </c>
      <c r="Q317" s="19">
        <f t="shared" si="139"/>
        <v>0</v>
      </c>
      <c r="R317" s="19">
        <f t="shared" si="139"/>
        <v>11745.6</v>
      </c>
      <c r="S317" s="19">
        <f t="shared" si="139"/>
        <v>11745.6</v>
      </c>
      <c r="T317" s="19">
        <f t="shared" si="139"/>
        <v>0</v>
      </c>
      <c r="U317" s="19">
        <f t="shared" si="139"/>
        <v>11863.3</v>
      </c>
      <c r="V317" s="19">
        <f t="shared" si="139"/>
        <v>11863.3</v>
      </c>
      <c r="W317" s="19">
        <f t="shared" si="139"/>
        <v>0</v>
      </c>
    </row>
    <row r="318" spans="1:23">
      <c r="A318" s="634" t="s">
        <v>9</v>
      </c>
      <c r="B318" s="421" t="s">
        <v>67</v>
      </c>
      <c r="C318" s="421"/>
      <c r="D318" s="421"/>
      <c r="E318" s="421"/>
      <c r="F318" s="421"/>
      <c r="G318" s="421"/>
      <c r="H318" s="421"/>
      <c r="I318" s="421"/>
      <c r="J318" s="421"/>
      <c r="K318" s="421"/>
      <c r="L318" s="20">
        <f>SUM(L319,L324,)</f>
        <v>10157.948</v>
      </c>
      <c r="M318" s="20">
        <f t="shared" ref="M318:W318" si="140">SUM(M319,M324,)</f>
        <v>10982.009999999998</v>
      </c>
      <c r="N318" s="20">
        <f t="shared" si="140"/>
        <v>6924.23</v>
      </c>
      <c r="O318" s="20">
        <f t="shared" si="140"/>
        <v>11855</v>
      </c>
      <c r="P318" s="20">
        <f t="shared" si="140"/>
        <v>11855</v>
      </c>
      <c r="Q318" s="20">
        <f t="shared" si="140"/>
        <v>0</v>
      </c>
      <c r="R318" s="20">
        <f t="shared" si="140"/>
        <v>11745.6</v>
      </c>
      <c r="S318" s="20">
        <f t="shared" si="140"/>
        <v>11745.6</v>
      </c>
      <c r="T318" s="20">
        <f t="shared" si="140"/>
        <v>0</v>
      </c>
      <c r="U318" s="20">
        <f t="shared" si="140"/>
        <v>11863.3</v>
      </c>
      <c r="V318" s="20">
        <f t="shared" si="140"/>
        <v>11863.3</v>
      </c>
      <c r="W318" s="20">
        <f t="shared" si="140"/>
        <v>0</v>
      </c>
    </row>
    <row r="319" spans="1:23">
      <c r="A319" s="21" t="s">
        <v>57</v>
      </c>
      <c r="B319" s="229"/>
      <c r="C319" s="115"/>
      <c r="D319" s="383"/>
      <c r="E319" s="250"/>
      <c r="F319" s="250"/>
      <c r="G319" s="250"/>
      <c r="H319" s="250"/>
      <c r="I319" s="15"/>
      <c r="J319" s="115"/>
      <c r="K319" s="14"/>
      <c r="L319" s="22">
        <f t="shared" ref="L319:W319" si="141">SUM(L320:L323)</f>
        <v>3229.2</v>
      </c>
      <c r="M319" s="22">
        <f t="shared" si="141"/>
        <v>3406</v>
      </c>
      <c r="N319" s="22">
        <f t="shared" si="141"/>
        <v>2367.9900000000002</v>
      </c>
      <c r="O319" s="22">
        <f t="shared" si="141"/>
        <v>3384.6</v>
      </c>
      <c r="P319" s="22">
        <f t="shared" si="141"/>
        <v>3384.6</v>
      </c>
      <c r="Q319" s="22">
        <f t="shared" si="141"/>
        <v>0</v>
      </c>
      <c r="R319" s="22">
        <f t="shared" si="141"/>
        <v>3353.4</v>
      </c>
      <c r="S319" s="22">
        <f t="shared" si="141"/>
        <v>3353.4</v>
      </c>
      <c r="T319" s="22">
        <f t="shared" si="141"/>
        <v>0</v>
      </c>
      <c r="U319" s="22">
        <f t="shared" si="141"/>
        <v>3386.8999999999996</v>
      </c>
      <c r="V319" s="22">
        <f t="shared" si="141"/>
        <v>3386.8999999999996</v>
      </c>
      <c r="W319" s="22">
        <f t="shared" si="141"/>
        <v>0</v>
      </c>
    </row>
    <row r="320" spans="1:23" ht="300">
      <c r="A320" s="24" t="s">
        <v>10</v>
      </c>
      <c r="B320" s="229" t="s">
        <v>68</v>
      </c>
      <c r="C320" s="121" t="s">
        <v>323</v>
      </c>
      <c r="D320" s="226" t="s">
        <v>383</v>
      </c>
      <c r="E320" s="226" t="s">
        <v>92</v>
      </c>
      <c r="F320" s="226" t="s">
        <v>93</v>
      </c>
      <c r="G320" s="226" t="s">
        <v>114</v>
      </c>
      <c r="H320" s="250">
        <v>100</v>
      </c>
      <c r="I320" s="449" t="s">
        <v>1031</v>
      </c>
      <c r="J320" s="424" t="s">
        <v>200</v>
      </c>
      <c r="K320" s="121"/>
      <c r="L320" s="25">
        <v>2812</v>
      </c>
      <c r="M320" s="25">
        <v>2856.4</v>
      </c>
      <c r="N320" s="25">
        <v>1922</v>
      </c>
      <c r="O320" s="25">
        <f>P320+Q320</f>
        <v>3091.5</v>
      </c>
      <c r="P320" s="25">
        <v>3091.5</v>
      </c>
      <c r="Q320" s="25">
        <v>0</v>
      </c>
      <c r="R320" s="25">
        <f>S320+T320</f>
        <v>3062.9</v>
      </c>
      <c r="S320" s="25">
        <v>3062.9</v>
      </c>
      <c r="T320" s="25">
        <v>0</v>
      </c>
      <c r="U320" s="25">
        <f>V320+W320</f>
        <v>3093.7</v>
      </c>
      <c r="V320" s="25">
        <v>3093.7</v>
      </c>
      <c r="W320" s="26">
        <v>0</v>
      </c>
    </row>
    <row r="321" spans="1:23" ht="300">
      <c r="A321" s="24" t="s">
        <v>11</v>
      </c>
      <c r="B321" s="229" t="s">
        <v>69</v>
      </c>
      <c r="C321" s="125" t="s">
        <v>410</v>
      </c>
      <c r="D321" s="226" t="s">
        <v>349</v>
      </c>
      <c r="E321" s="226" t="s">
        <v>92</v>
      </c>
      <c r="F321" s="226" t="s">
        <v>93</v>
      </c>
      <c r="G321" s="226" t="s">
        <v>114</v>
      </c>
      <c r="H321" s="250">
        <v>200</v>
      </c>
      <c r="I321" s="449"/>
      <c r="J321" s="424"/>
      <c r="K321" s="27"/>
      <c r="L321" s="25">
        <v>337.2</v>
      </c>
      <c r="M321" s="25">
        <v>333.7</v>
      </c>
      <c r="N321" s="25">
        <v>230.05</v>
      </c>
      <c r="O321" s="25">
        <f t="shared" ref="O321:O323" si="142">P321+Q321</f>
        <v>293.10000000000002</v>
      </c>
      <c r="P321" s="25">
        <v>293.10000000000002</v>
      </c>
      <c r="Q321" s="25">
        <v>0</v>
      </c>
      <c r="R321" s="25">
        <f t="shared" ref="R321:R323" si="143">S321+T321</f>
        <v>290.5</v>
      </c>
      <c r="S321" s="25">
        <v>290.5</v>
      </c>
      <c r="T321" s="25">
        <v>0</v>
      </c>
      <c r="U321" s="25">
        <f t="shared" ref="U321:U323" si="144">V321+W321</f>
        <v>293.2</v>
      </c>
      <c r="V321" s="25">
        <v>293.2</v>
      </c>
      <c r="W321" s="26">
        <v>0</v>
      </c>
    </row>
    <row r="322" spans="1:23" ht="300">
      <c r="A322" s="24" t="s">
        <v>213</v>
      </c>
      <c r="B322" s="229" t="s">
        <v>1032</v>
      </c>
      <c r="C322" s="125" t="s">
        <v>323</v>
      </c>
      <c r="D322" s="226" t="s">
        <v>383</v>
      </c>
      <c r="E322" s="226" t="s">
        <v>92</v>
      </c>
      <c r="F322" s="226" t="s">
        <v>93</v>
      </c>
      <c r="G322" s="226" t="s">
        <v>986</v>
      </c>
      <c r="H322" s="250">
        <v>100</v>
      </c>
      <c r="I322" s="125" t="s">
        <v>1277</v>
      </c>
      <c r="J322" s="424"/>
      <c r="K322" s="27"/>
      <c r="L322" s="25">
        <v>80</v>
      </c>
      <c r="M322" s="25">
        <v>0</v>
      </c>
      <c r="N322" s="25">
        <v>0</v>
      </c>
      <c r="O322" s="25">
        <f t="shared" si="142"/>
        <v>0</v>
      </c>
      <c r="P322" s="25">
        <v>0</v>
      </c>
      <c r="Q322" s="25">
        <v>0</v>
      </c>
      <c r="R322" s="25">
        <f t="shared" si="143"/>
        <v>0</v>
      </c>
      <c r="S322" s="25">
        <v>0</v>
      </c>
      <c r="T322" s="25">
        <v>0</v>
      </c>
      <c r="U322" s="25">
        <f t="shared" si="144"/>
        <v>0</v>
      </c>
      <c r="V322" s="25">
        <v>0</v>
      </c>
      <c r="W322" s="26">
        <v>0</v>
      </c>
    </row>
    <row r="323" spans="1:23" ht="262.5">
      <c r="A323" s="24" t="s">
        <v>976</v>
      </c>
      <c r="B323" s="229" t="s">
        <v>490</v>
      </c>
      <c r="C323" s="125" t="s">
        <v>490</v>
      </c>
      <c r="D323" s="226" t="s">
        <v>1021</v>
      </c>
      <c r="E323" s="226" t="s">
        <v>92</v>
      </c>
      <c r="F323" s="226" t="s">
        <v>83</v>
      </c>
      <c r="G323" s="226" t="s">
        <v>124</v>
      </c>
      <c r="H323" s="250">
        <v>200</v>
      </c>
      <c r="I323" s="61" t="s">
        <v>1278</v>
      </c>
      <c r="J323" s="52"/>
      <c r="K323" s="121"/>
      <c r="L323" s="25">
        <v>0</v>
      </c>
      <c r="M323" s="25">
        <v>215.9</v>
      </c>
      <c r="N323" s="25">
        <v>215.94</v>
      </c>
      <c r="O323" s="25">
        <f t="shared" si="142"/>
        <v>0</v>
      </c>
      <c r="P323" s="25">
        <v>0</v>
      </c>
      <c r="Q323" s="25">
        <v>0</v>
      </c>
      <c r="R323" s="25">
        <f t="shared" si="143"/>
        <v>0</v>
      </c>
      <c r="S323" s="25">
        <v>0</v>
      </c>
      <c r="T323" s="25">
        <v>0</v>
      </c>
      <c r="U323" s="25">
        <f t="shared" si="144"/>
        <v>0</v>
      </c>
      <c r="V323" s="25">
        <v>0</v>
      </c>
      <c r="W323" s="26">
        <v>0</v>
      </c>
    </row>
    <row r="324" spans="1:23">
      <c r="A324" s="477" t="s">
        <v>88</v>
      </c>
      <c r="B324" s="411"/>
      <c r="C324" s="411"/>
      <c r="D324" s="411"/>
      <c r="E324" s="411"/>
      <c r="F324" s="411"/>
      <c r="G324" s="411"/>
      <c r="H324" s="411"/>
      <c r="I324" s="411"/>
      <c r="J324" s="411"/>
      <c r="K324" s="411"/>
      <c r="L324" s="22">
        <f>SUM(L325,L328,)</f>
        <v>6928.7479999999996</v>
      </c>
      <c r="M324" s="22">
        <f t="shared" ref="M324:W324" si="145">SUM(M325,M328,)</f>
        <v>7576.0099999999993</v>
      </c>
      <c r="N324" s="22">
        <f t="shared" si="145"/>
        <v>4556.24</v>
      </c>
      <c r="O324" s="22">
        <f t="shared" si="145"/>
        <v>8470.4</v>
      </c>
      <c r="P324" s="22">
        <f t="shared" si="145"/>
        <v>8470.4</v>
      </c>
      <c r="Q324" s="22">
        <f t="shared" si="145"/>
        <v>0</v>
      </c>
      <c r="R324" s="22">
        <f t="shared" si="145"/>
        <v>8392.2000000000007</v>
      </c>
      <c r="S324" s="22">
        <f t="shared" si="145"/>
        <v>8392.2000000000007</v>
      </c>
      <c r="T324" s="22">
        <f t="shared" si="145"/>
        <v>0</v>
      </c>
      <c r="U324" s="22">
        <f t="shared" si="145"/>
        <v>8476.4</v>
      </c>
      <c r="V324" s="22">
        <f t="shared" si="145"/>
        <v>8476.4</v>
      </c>
      <c r="W324" s="22">
        <f t="shared" si="145"/>
        <v>0</v>
      </c>
    </row>
    <row r="325" spans="1:23">
      <c r="A325" s="24" t="s">
        <v>12</v>
      </c>
      <c r="B325" s="229" t="s">
        <v>58</v>
      </c>
      <c r="C325" s="121"/>
      <c r="D325" s="218"/>
      <c r="E325" s="250"/>
      <c r="F325" s="250"/>
      <c r="G325" s="250"/>
      <c r="H325" s="250">
        <v>100</v>
      </c>
      <c r="I325" s="111"/>
      <c r="J325" s="121"/>
      <c r="K325" s="121"/>
      <c r="L325" s="25">
        <f t="shared" ref="L325:W325" si="146">SUM(L326:L327)</f>
        <v>5011.99</v>
      </c>
      <c r="M325" s="25">
        <f t="shared" si="146"/>
        <v>5756.5999999999995</v>
      </c>
      <c r="N325" s="25">
        <f t="shared" si="146"/>
        <v>3328.6499999999996</v>
      </c>
      <c r="O325" s="25">
        <f t="shared" si="146"/>
        <v>6716.8</v>
      </c>
      <c r="P325" s="25">
        <f t="shared" si="146"/>
        <v>6716.8</v>
      </c>
      <c r="Q325" s="25">
        <f t="shared" si="146"/>
        <v>0</v>
      </c>
      <c r="R325" s="25">
        <f t="shared" si="146"/>
        <v>6654.6</v>
      </c>
      <c r="S325" s="25">
        <f t="shared" si="146"/>
        <v>6654.6</v>
      </c>
      <c r="T325" s="25">
        <f t="shared" si="146"/>
        <v>0</v>
      </c>
      <c r="U325" s="25">
        <f t="shared" si="146"/>
        <v>6721.7</v>
      </c>
      <c r="V325" s="25">
        <f t="shared" si="146"/>
        <v>6721.7</v>
      </c>
      <c r="W325" s="26">
        <f t="shared" si="146"/>
        <v>0</v>
      </c>
    </row>
    <row r="326" spans="1:23" ht="409.5">
      <c r="A326" s="24" t="s">
        <v>235</v>
      </c>
      <c r="B326" s="229" t="s">
        <v>257</v>
      </c>
      <c r="C326" s="121" t="s">
        <v>411</v>
      </c>
      <c r="D326" s="226" t="s">
        <v>403</v>
      </c>
      <c r="E326" s="226" t="s">
        <v>95</v>
      </c>
      <c r="F326" s="226" t="s">
        <v>80</v>
      </c>
      <c r="G326" s="226" t="s">
        <v>96</v>
      </c>
      <c r="H326" s="250">
        <v>100</v>
      </c>
      <c r="I326" s="125" t="s">
        <v>371</v>
      </c>
      <c r="J326" s="121" t="s">
        <v>202</v>
      </c>
      <c r="K326" s="121"/>
      <c r="L326" s="25">
        <v>4490.82</v>
      </c>
      <c r="M326" s="25">
        <v>5098.7</v>
      </c>
      <c r="N326" s="25">
        <v>2967.49</v>
      </c>
      <c r="O326" s="25">
        <f>P326+Q326</f>
        <v>5799.3</v>
      </c>
      <c r="P326" s="25">
        <v>5799.3</v>
      </c>
      <c r="Q326" s="25">
        <v>0</v>
      </c>
      <c r="R326" s="25">
        <f>S326+T326</f>
        <v>5745.6</v>
      </c>
      <c r="S326" s="25">
        <v>5745.6</v>
      </c>
      <c r="T326" s="25">
        <v>0</v>
      </c>
      <c r="U326" s="25">
        <f>V326+W326</f>
        <v>5803.5</v>
      </c>
      <c r="V326" s="25">
        <v>5803.5</v>
      </c>
      <c r="W326" s="26">
        <v>0</v>
      </c>
    </row>
    <row r="327" spans="1:23" s="336" customFormat="1" ht="409.5">
      <c r="A327" s="24" t="s">
        <v>237</v>
      </c>
      <c r="B327" s="229" t="s">
        <v>238</v>
      </c>
      <c r="C327" s="121" t="s">
        <v>412</v>
      </c>
      <c r="D327" s="226" t="s">
        <v>393</v>
      </c>
      <c r="E327" s="226" t="s">
        <v>98</v>
      </c>
      <c r="F327" s="226" t="s">
        <v>98</v>
      </c>
      <c r="G327" s="226" t="s">
        <v>100</v>
      </c>
      <c r="H327" s="250">
        <v>100</v>
      </c>
      <c r="I327" s="125" t="s">
        <v>372</v>
      </c>
      <c r="J327" s="121" t="s">
        <v>206</v>
      </c>
      <c r="K327" s="121"/>
      <c r="L327" s="25">
        <v>521.16999999999996</v>
      </c>
      <c r="M327" s="25">
        <v>657.9</v>
      </c>
      <c r="N327" s="25">
        <v>361.16</v>
      </c>
      <c r="O327" s="25">
        <f t="shared" ref="O327" si="147">P327+Q327</f>
        <v>917.5</v>
      </c>
      <c r="P327" s="25">
        <v>917.5</v>
      </c>
      <c r="Q327" s="25">
        <v>0</v>
      </c>
      <c r="R327" s="25">
        <f>S327+T327</f>
        <v>909</v>
      </c>
      <c r="S327" s="25">
        <v>909</v>
      </c>
      <c r="T327" s="25">
        <v>0</v>
      </c>
      <c r="U327" s="25">
        <f>V327+W327</f>
        <v>918.2</v>
      </c>
      <c r="V327" s="25">
        <v>918.2</v>
      </c>
      <c r="W327" s="26">
        <v>0</v>
      </c>
    </row>
    <row r="328" spans="1:23" s="336" customFormat="1" ht="37.5">
      <c r="A328" s="24" t="s">
        <v>13</v>
      </c>
      <c r="B328" s="229" t="s">
        <v>32</v>
      </c>
      <c r="C328" s="15"/>
      <c r="D328" s="375"/>
      <c r="E328" s="250"/>
      <c r="F328" s="250"/>
      <c r="G328" s="250"/>
      <c r="H328" s="250">
        <v>200</v>
      </c>
      <c r="I328" s="15"/>
      <c r="J328" s="15"/>
      <c r="K328" s="27"/>
      <c r="L328" s="25">
        <f t="shared" ref="L328:W328" si="148">SUM(L329:L335)</f>
        <v>1916.7579999999998</v>
      </c>
      <c r="M328" s="25">
        <f t="shared" si="148"/>
        <v>1819.41</v>
      </c>
      <c r="N328" s="25">
        <f t="shared" si="148"/>
        <v>1227.5900000000001</v>
      </c>
      <c r="O328" s="25">
        <f t="shared" si="148"/>
        <v>1753.6</v>
      </c>
      <c r="P328" s="25">
        <f t="shared" si="148"/>
        <v>1753.6</v>
      </c>
      <c r="Q328" s="25">
        <f t="shared" si="148"/>
        <v>0</v>
      </c>
      <c r="R328" s="25">
        <f t="shared" si="148"/>
        <v>1737.6000000000001</v>
      </c>
      <c r="S328" s="25">
        <f t="shared" si="148"/>
        <v>1737.6000000000001</v>
      </c>
      <c r="T328" s="25">
        <f t="shared" si="148"/>
        <v>0</v>
      </c>
      <c r="U328" s="25">
        <f t="shared" si="148"/>
        <v>1754.6999999999998</v>
      </c>
      <c r="V328" s="25">
        <f t="shared" si="148"/>
        <v>1754.6999999999998</v>
      </c>
      <c r="W328" s="26">
        <f t="shared" si="148"/>
        <v>0</v>
      </c>
    </row>
    <row r="329" spans="1:23" s="337" customFormat="1" ht="150">
      <c r="A329" s="24" t="s">
        <v>239</v>
      </c>
      <c r="B329" s="229" t="s">
        <v>236</v>
      </c>
      <c r="C329" s="121" t="s">
        <v>411</v>
      </c>
      <c r="D329" s="226" t="s">
        <v>403</v>
      </c>
      <c r="E329" s="226" t="s">
        <v>95</v>
      </c>
      <c r="F329" s="226" t="s">
        <v>80</v>
      </c>
      <c r="G329" s="226" t="s">
        <v>96</v>
      </c>
      <c r="H329" s="250">
        <v>200</v>
      </c>
      <c r="I329" s="472" t="s">
        <v>240</v>
      </c>
      <c r="J329" s="472" t="s">
        <v>373</v>
      </c>
      <c r="K329" s="27"/>
      <c r="L329" s="25">
        <v>1305.3579999999999</v>
      </c>
      <c r="M329" s="25">
        <v>1049.81</v>
      </c>
      <c r="N329" s="25">
        <v>698.9</v>
      </c>
      <c r="O329" s="25">
        <f>P329+Q329</f>
        <v>1043.5999999999999</v>
      </c>
      <c r="P329" s="25">
        <v>1043.5999999999999</v>
      </c>
      <c r="Q329" s="25">
        <v>0</v>
      </c>
      <c r="R329" s="25">
        <f>S329+T329</f>
        <v>1034</v>
      </c>
      <c r="S329" s="25">
        <v>1034</v>
      </c>
      <c r="T329" s="25">
        <v>0</v>
      </c>
      <c r="U329" s="25">
        <f>V329+W329</f>
        <v>1044.3</v>
      </c>
      <c r="V329" s="25">
        <v>1044.3</v>
      </c>
      <c r="W329" s="26">
        <v>0</v>
      </c>
    </row>
    <row r="330" spans="1:23" s="337" customFormat="1" ht="150">
      <c r="A330" s="24" t="s">
        <v>242</v>
      </c>
      <c r="B330" s="229" t="s">
        <v>243</v>
      </c>
      <c r="C330" s="121" t="s">
        <v>411</v>
      </c>
      <c r="D330" s="226" t="s">
        <v>403</v>
      </c>
      <c r="E330" s="226" t="s">
        <v>95</v>
      </c>
      <c r="F330" s="226" t="s">
        <v>80</v>
      </c>
      <c r="G330" s="226" t="s">
        <v>184</v>
      </c>
      <c r="H330" s="250">
        <v>200</v>
      </c>
      <c r="I330" s="474"/>
      <c r="J330" s="474"/>
      <c r="K330" s="27"/>
      <c r="L330" s="25">
        <v>201.5</v>
      </c>
      <c r="M330" s="25">
        <v>223.9</v>
      </c>
      <c r="N330" s="25">
        <v>83.35</v>
      </c>
      <c r="O330" s="25">
        <f>P330+Q330</f>
        <v>266.60000000000002</v>
      </c>
      <c r="P330" s="25">
        <v>266.60000000000002</v>
      </c>
      <c r="Q330" s="25">
        <v>0</v>
      </c>
      <c r="R330" s="25">
        <f t="shared" ref="R330:R335" si="149">S330+T330</f>
        <v>264.2</v>
      </c>
      <c r="S330" s="25">
        <v>264.2</v>
      </c>
      <c r="T330" s="25">
        <v>0</v>
      </c>
      <c r="U330" s="25">
        <f>V330+W330</f>
        <v>266.7</v>
      </c>
      <c r="V330" s="25">
        <v>266.7</v>
      </c>
      <c r="W330" s="26">
        <v>0</v>
      </c>
    </row>
    <row r="331" spans="1:23" s="337" customFormat="1" ht="409.5">
      <c r="A331" s="24" t="s">
        <v>244</v>
      </c>
      <c r="B331" s="229" t="s">
        <v>246</v>
      </c>
      <c r="C331" s="121" t="s">
        <v>413</v>
      </c>
      <c r="D331" s="226" t="s">
        <v>394</v>
      </c>
      <c r="E331" s="226" t="s">
        <v>93</v>
      </c>
      <c r="F331" s="226" t="s">
        <v>97</v>
      </c>
      <c r="G331" s="226" t="s">
        <v>162</v>
      </c>
      <c r="H331" s="250">
        <v>200</v>
      </c>
      <c r="I331" s="125" t="s">
        <v>374</v>
      </c>
      <c r="J331" s="125" t="s">
        <v>375</v>
      </c>
      <c r="K331" s="27"/>
      <c r="L331" s="25">
        <v>24.3</v>
      </c>
      <c r="M331" s="25">
        <v>0</v>
      </c>
      <c r="N331" s="25">
        <v>0</v>
      </c>
      <c r="O331" s="25">
        <f t="shared" ref="O331:O333" si="150">P331+Q331</f>
        <v>48.3</v>
      </c>
      <c r="P331" s="25">
        <v>48.3</v>
      </c>
      <c r="Q331" s="25">
        <v>0</v>
      </c>
      <c r="R331" s="25">
        <f t="shared" si="149"/>
        <v>47.9</v>
      </c>
      <c r="S331" s="25">
        <v>47.9</v>
      </c>
      <c r="T331" s="25">
        <v>0</v>
      </c>
      <c r="U331" s="25">
        <f t="shared" ref="U331:U333" si="151">V331+W331</f>
        <v>48.3</v>
      </c>
      <c r="V331" s="25">
        <v>48.3</v>
      </c>
      <c r="W331" s="26">
        <v>0</v>
      </c>
    </row>
    <row r="332" spans="1:23" s="340" customFormat="1" ht="409.5">
      <c r="A332" s="24" t="s">
        <v>245</v>
      </c>
      <c r="B332" s="229" t="s">
        <v>249</v>
      </c>
      <c r="C332" s="121" t="s">
        <v>414</v>
      </c>
      <c r="D332" s="226" t="s">
        <v>395</v>
      </c>
      <c r="E332" s="226" t="s">
        <v>98</v>
      </c>
      <c r="F332" s="226" t="s">
        <v>95</v>
      </c>
      <c r="G332" s="226" t="s">
        <v>225</v>
      </c>
      <c r="H332" s="250">
        <v>200</v>
      </c>
      <c r="I332" s="472" t="s">
        <v>376</v>
      </c>
      <c r="J332" s="472" t="s">
        <v>377</v>
      </c>
      <c r="K332" s="27"/>
      <c r="L332" s="25">
        <v>159</v>
      </c>
      <c r="M332" s="25">
        <v>117.7</v>
      </c>
      <c r="N332" s="25">
        <v>111.815</v>
      </c>
      <c r="O332" s="25">
        <f t="shared" si="150"/>
        <v>122.9</v>
      </c>
      <c r="P332" s="25">
        <v>122.9</v>
      </c>
      <c r="Q332" s="25">
        <v>0</v>
      </c>
      <c r="R332" s="25">
        <f t="shared" si="149"/>
        <v>121.8</v>
      </c>
      <c r="S332" s="25">
        <v>121.8</v>
      </c>
      <c r="T332" s="25">
        <v>0</v>
      </c>
      <c r="U332" s="25">
        <f t="shared" si="151"/>
        <v>123</v>
      </c>
      <c r="V332" s="25">
        <v>123</v>
      </c>
      <c r="W332" s="26">
        <v>0</v>
      </c>
    </row>
    <row r="333" spans="1:23" s="341" customFormat="1" ht="409.5">
      <c r="A333" s="24" t="s">
        <v>248</v>
      </c>
      <c r="B333" s="229" t="s">
        <v>251</v>
      </c>
      <c r="C333" s="121" t="s">
        <v>415</v>
      </c>
      <c r="D333" s="226" t="s">
        <v>395</v>
      </c>
      <c r="E333" s="226" t="s">
        <v>98</v>
      </c>
      <c r="F333" s="226" t="s">
        <v>95</v>
      </c>
      <c r="G333" s="226" t="s">
        <v>126</v>
      </c>
      <c r="H333" s="250">
        <v>200</v>
      </c>
      <c r="I333" s="473"/>
      <c r="J333" s="479"/>
      <c r="K333" s="27"/>
      <c r="L333" s="25">
        <v>226.6</v>
      </c>
      <c r="M333" s="25">
        <v>248.6</v>
      </c>
      <c r="N333" s="25">
        <v>243.82499999999999</v>
      </c>
      <c r="O333" s="25">
        <f t="shared" si="150"/>
        <v>272.2</v>
      </c>
      <c r="P333" s="25">
        <v>272.2</v>
      </c>
      <c r="Q333" s="25">
        <v>0</v>
      </c>
      <c r="R333" s="25">
        <f t="shared" si="149"/>
        <v>269.7</v>
      </c>
      <c r="S333" s="25">
        <v>269.7</v>
      </c>
      <c r="T333" s="25">
        <v>0</v>
      </c>
      <c r="U333" s="25">
        <f t="shared" si="151"/>
        <v>272.39999999999998</v>
      </c>
      <c r="V333" s="25">
        <v>272.39999999999998</v>
      </c>
      <c r="W333" s="26">
        <v>0</v>
      </c>
    </row>
    <row r="334" spans="1:23" ht="168.75">
      <c r="A334" s="24" t="s">
        <v>252</v>
      </c>
      <c r="B334" s="229" t="s">
        <v>381</v>
      </c>
      <c r="C334" s="62" t="s">
        <v>558</v>
      </c>
      <c r="D334" s="226" t="s">
        <v>454</v>
      </c>
      <c r="E334" s="226" t="s">
        <v>98</v>
      </c>
      <c r="F334" s="226" t="s">
        <v>95</v>
      </c>
      <c r="G334" s="226" t="s">
        <v>192</v>
      </c>
      <c r="H334" s="250">
        <v>200</v>
      </c>
      <c r="I334" s="63" t="s">
        <v>1279</v>
      </c>
      <c r="J334" s="41">
        <v>45083</v>
      </c>
      <c r="K334" s="27"/>
      <c r="L334" s="25">
        <v>0</v>
      </c>
      <c r="M334" s="25">
        <v>50</v>
      </c>
      <c r="N334" s="25">
        <v>25</v>
      </c>
      <c r="O334" s="25">
        <f>P334+Q334</f>
        <v>0</v>
      </c>
      <c r="P334" s="25">
        <f t="shared" ref="P334:W334" si="152">SUM(P335:P335)</f>
        <v>0</v>
      </c>
      <c r="Q334" s="25">
        <f t="shared" si="152"/>
        <v>0</v>
      </c>
      <c r="R334" s="25">
        <f t="shared" si="149"/>
        <v>0</v>
      </c>
      <c r="S334" s="25">
        <f t="shared" si="152"/>
        <v>0</v>
      </c>
      <c r="T334" s="25">
        <f t="shared" si="152"/>
        <v>0</v>
      </c>
      <c r="U334" s="25">
        <f>V334+W334</f>
        <v>0</v>
      </c>
      <c r="V334" s="25">
        <f t="shared" si="152"/>
        <v>0</v>
      </c>
      <c r="W334" s="26">
        <f t="shared" si="152"/>
        <v>0</v>
      </c>
    </row>
    <row r="335" spans="1:23" ht="168.75">
      <c r="A335" s="24" t="s">
        <v>253</v>
      </c>
      <c r="B335" s="229" t="s">
        <v>381</v>
      </c>
      <c r="C335" s="62" t="s">
        <v>558</v>
      </c>
      <c r="D335" s="226" t="s">
        <v>395</v>
      </c>
      <c r="E335" s="226" t="s">
        <v>98</v>
      </c>
      <c r="F335" s="226" t="s">
        <v>95</v>
      </c>
      <c r="G335" s="226" t="s">
        <v>192</v>
      </c>
      <c r="H335" s="250">
        <v>200</v>
      </c>
      <c r="I335" s="63" t="s">
        <v>1280</v>
      </c>
      <c r="J335" s="41">
        <v>45148</v>
      </c>
      <c r="K335" s="27"/>
      <c r="L335" s="25">
        <v>0</v>
      </c>
      <c r="M335" s="25">
        <v>129.4</v>
      </c>
      <c r="N335" s="25">
        <v>64.7</v>
      </c>
      <c r="O335" s="25">
        <f t="shared" ref="O335" si="153">P335+Q335</f>
        <v>0</v>
      </c>
      <c r="P335" s="25">
        <v>0</v>
      </c>
      <c r="Q335" s="25">
        <v>0</v>
      </c>
      <c r="R335" s="25">
        <f t="shared" si="149"/>
        <v>0</v>
      </c>
      <c r="S335" s="25">
        <v>0</v>
      </c>
      <c r="T335" s="25">
        <v>0</v>
      </c>
      <c r="U335" s="25">
        <f t="shared" ref="U335" si="154">V335+W335</f>
        <v>0</v>
      </c>
      <c r="V335" s="25">
        <v>0</v>
      </c>
      <c r="W335" s="26">
        <v>0</v>
      </c>
    </row>
    <row r="336" spans="1:23" ht="56.25">
      <c r="A336" s="640" t="s">
        <v>138</v>
      </c>
      <c r="B336" s="396" t="s">
        <v>234</v>
      </c>
      <c r="C336" s="49"/>
      <c r="D336" s="645"/>
      <c r="E336" s="645"/>
      <c r="F336" s="645"/>
      <c r="G336" s="645"/>
      <c r="H336" s="645"/>
      <c r="I336" s="49"/>
      <c r="J336" s="49"/>
      <c r="K336" s="49" t="s">
        <v>62</v>
      </c>
      <c r="L336" s="50">
        <f>SUM(L337,)</f>
        <v>13354.2</v>
      </c>
      <c r="M336" s="50">
        <f t="shared" ref="M336:W336" si="155">SUM(M337,)</f>
        <v>14067.3</v>
      </c>
      <c r="N336" s="50">
        <f t="shared" si="155"/>
        <v>8652.7999999999993</v>
      </c>
      <c r="O336" s="50">
        <f t="shared" si="155"/>
        <v>16155.4</v>
      </c>
      <c r="P336" s="50">
        <f t="shared" si="155"/>
        <v>16155.4</v>
      </c>
      <c r="Q336" s="50">
        <f t="shared" si="155"/>
        <v>0</v>
      </c>
      <c r="R336" s="50">
        <f t="shared" si="155"/>
        <v>16005.5</v>
      </c>
      <c r="S336" s="50">
        <f t="shared" si="155"/>
        <v>16005.5</v>
      </c>
      <c r="T336" s="50">
        <f t="shared" si="155"/>
        <v>0</v>
      </c>
      <c r="U336" s="50">
        <f t="shared" si="155"/>
        <v>16166.8</v>
      </c>
      <c r="V336" s="50">
        <f t="shared" si="155"/>
        <v>16166.8</v>
      </c>
      <c r="W336" s="50">
        <f t="shared" si="155"/>
        <v>0</v>
      </c>
    </row>
    <row r="337" spans="1:23">
      <c r="A337" s="630" t="s">
        <v>9</v>
      </c>
      <c r="B337" s="421" t="s">
        <v>67</v>
      </c>
      <c r="C337" s="421"/>
      <c r="D337" s="421"/>
      <c r="E337" s="421"/>
      <c r="F337" s="421"/>
      <c r="G337" s="421"/>
      <c r="H337" s="421"/>
      <c r="I337" s="421"/>
      <c r="J337" s="421"/>
      <c r="K337" s="421"/>
      <c r="L337" s="20">
        <f>L338+L344</f>
        <v>13354.2</v>
      </c>
      <c r="M337" s="20">
        <f t="shared" ref="M337:W337" si="156">M338+M344</f>
        <v>14067.3</v>
      </c>
      <c r="N337" s="20">
        <f t="shared" si="156"/>
        <v>8652.7999999999993</v>
      </c>
      <c r="O337" s="20">
        <f t="shared" si="156"/>
        <v>16155.4</v>
      </c>
      <c r="P337" s="20">
        <f t="shared" si="156"/>
        <v>16155.4</v>
      </c>
      <c r="Q337" s="20">
        <f t="shared" si="156"/>
        <v>0</v>
      </c>
      <c r="R337" s="20">
        <f t="shared" si="156"/>
        <v>16005.5</v>
      </c>
      <c r="S337" s="20">
        <f t="shared" si="156"/>
        <v>16005.5</v>
      </c>
      <c r="T337" s="20">
        <f t="shared" si="156"/>
        <v>0</v>
      </c>
      <c r="U337" s="20">
        <f t="shared" si="156"/>
        <v>16166.8</v>
      </c>
      <c r="V337" s="20">
        <f t="shared" si="156"/>
        <v>16166.8</v>
      </c>
      <c r="W337" s="20">
        <f t="shared" si="156"/>
        <v>0</v>
      </c>
    </row>
    <row r="338" spans="1:23">
      <c r="A338" s="235" t="s">
        <v>57</v>
      </c>
      <c r="B338" s="229"/>
      <c r="C338" s="115"/>
      <c r="D338" s="383"/>
      <c r="E338" s="250"/>
      <c r="F338" s="250"/>
      <c r="G338" s="250"/>
      <c r="H338" s="250"/>
      <c r="I338" s="15"/>
      <c r="J338" s="115"/>
      <c r="K338" s="14"/>
      <c r="L338" s="22">
        <f>SUM(L339:L343)</f>
        <v>3453.9</v>
      </c>
      <c r="M338" s="22">
        <f t="shared" ref="M338:W338" si="157">SUM(M339:M343)</f>
        <v>3227.8</v>
      </c>
      <c r="N338" s="22">
        <f t="shared" si="157"/>
        <v>2148.8000000000002</v>
      </c>
      <c r="O338" s="22">
        <f t="shared" si="157"/>
        <v>3496.5</v>
      </c>
      <c r="P338" s="22">
        <f t="shared" si="157"/>
        <v>3496.5</v>
      </c>
      <c r="Q338" s="22">
        <f t="shared" si="157"/>
        <v>0</v>
      </c>
      <c r="R338" s="22">
        <f t="shared" si="157"/>
        <v>3464.2</v>
      </c>
      <c r="S338" s="22">
        <f t="shared" si="157"/>
        <v>3464.2</v>
      </c>
      <c r="T338" s="22">
        <f t="shared" si="157"/>
        <v>0</v>
      </c>
      <c r="U338" s="22">
        <f t="shared" si="157"/>
        <v>3499</v>
      </c>
      <c r="V338" s="22">
        <f t="shared" si="157"/>
        <v>3499</v>
      </c>
      <c r="W338" s="22">
        <f t="shared" si="157"/>
        <v>0</v>
      </c>
    </row>
    <row r="339" spans="1:23" ht="37.5">
      <c r="A339" s="225" t="s">
        <v>10</v>
      </c>
      <c r="B339" s="229" t="s">
        <v>68</v>
      </c>
      <c r="C339" s="121"/>
      <c r="D339" s="226" t="s">
        <v>383</v>
      </c>
      <c r="E339" s="226" t="s">
        <v>92</v>
      </c>
      <c r="F339" s="226" t="s">
        <v>93</v>
      </c>
      <c r="G339" s="226" t="s">
        <v>114</v>
      </c>
      <c r="H339" s="250">
        <v>100</v>
      </c>
      <c r="I339" s="449" t="s">
        <v>1033</v>
      </c>
      <c r="J339" s="424" t="s">
        <v>1034</v>
      </c>
      <c r="K339" s="121"/>
      <c r="L339" s="25">
        <v>2720.3</v>
      </c>
      <c r="M339" s="25">
        <v>2712.3</v>
      </c>
      <c r="N339" s="25">
        <v>1760.5</v>
      </c>
      <c r="O339" s="25">
        <f>P339+Q339</f>
        <v>3043.9</v>
      </c>
      <c r="P339" s="25">
        <v>3043.9</v>
      </c>
      <c r="Q339" s="25">
        <v>0</v>
      </c>
      <c r="R339" s="25">
        <f>S339+T339</f>
        <v>3015.7</v>
      </c>
      <c r="S339" s="25">
        <v>3015.7</v>
      </c>
      <c r="T339" s="25"/>
      <c r="U339" s="25">
        <f>V339+W339</f>
        <v>3046.1</v>
      </c>
      <c r="V339" s="25">
        <v>3046.1</v>
      </c>
      <c r="W339" s="25"/>
    </row>
    <row r="340" spans="1:23">
      <c r="A340" s="225"/>
      <c r="B340" s="229"/>
      <c r="C340" s="121"/>
      <c r="D340" s="226" t="s">
        <v>383</v>
      </c>
      <c r="E340" s="226" t="s">
        <v>92</v>
      </c>
      <c r="F340" s="226" t="s">
        <v>93</v>
      </c>
      <c r="G340" s="226" t="s">
        <v>986</v>
      </c>
      <c r="H340" s="250">
        <v>100</v>
      </c>
      <c r="I340" s="449"/>
      <c r="J340" s="424"/>
      <c r="K340" s="121"/>
      <c r="L340" s="25">
        <v>80</v>
      </c>
      <c r="M340" s="25"/>
      <c r="N340" s="25"/>
      <c r="O340" s="25"/>
      <c r="P340" s="25"/>
      <c r="Q340" s="25"/>
      <c r="R340" s="25"/>
      <c r="S340" s="25"/>
      <c r="T340" s="25"/>
      <c r="U340" s="25"/>
      <c r="V340" s="25"/>
      <c r="W340" s="25"/>
    </row>
    <row r="341" spans="1:23" ht="37.5">
      <c r="A341" s="225" t="s">
        <v>11</v>
      </c>
      <c r="B341" s="229" t="s">
        <v>69</v>
      </c>
      <c r="C341" s="15"/>
      <c r="D341" s="226" t="s">
        <v>349</v>
      </c>
      <c r="E341" s="226" t="s">
        <v>92</v>
      </c>
      <c r="F341" s="226" t="s">
        <v>93</v>
      </c>
      <c r="G341" s="226" t="s">
        <v>114</v>
      </c>
      <c r="H341" s="250">
        <v>200</v>
      </c>
      <c r="I341" s="449"/>
      <c r="J341" s="424"/>
      <c r="K341" s="27"/>
      <c r="L341" s="25">
        <v>653.6</v>
      </c>
      <c r="M341" s="25">
        <v>515.5</v>
      </c>
      <c r="N341" s="25">
        <v>388.3</v>
      </c>
      <c r="O341" s="25">
        <f>P341+Q341</f>
        <v>452.6</v>
      </c>
      <c r="P341" s="25">
        <v>452.6</v>
      </c>
      <c r="Q341" s="25"/>
      <c r="R341" s="25">
        <f>S341+T341</f>
        <v>448.5</v>
      </c>
      <c r="S341" s="25">
        <v>448.5</v>
      </c>
      <c r="T341" s="25"/>
      <c r="U341" s="25">
        <f>V341+W341</f>
        <v>452.9</v>
      </c>
      <c r="V341" s="25">
        <v>452.9</v>
      </c>
      <c r="W341" s="25"/>
    </row>
    <row r="342" spans="1:23">
      <c r="A342" s="225"/>
      <c r="B342" s="229"/>
      <c r="C342" s="15"/>
      <c r="D342" s="226" t="s">
        <v>349</v>
      </c>
      <c r="E342" s="226" t="s">
        <v>93</v>
      </c>
      <c r="F342" s="226" t="s">
        <v>80</v>
      </c>
      <c r="G342" s="226" t="s">
        <v>316</v>
      </c>
      <c r="H342" s="250">
        <v>200</v>
      </c>
      <c r="I342" s="346"/>
      <c r="J342" s="121"/>
      <c r="K342" s="27"/>
      <c r="L342" s="25"/>
      <c r="M342" s="25"/>
      <c r="N342" s="25"/>
      <c r="O342" s="25"/>
      <c r="P342" s="25"/>
      <c r="Q342" s="25"/>
      <c r="R342" s="25"/>
      <c r="S342" s="25"/>
      <c r="T342" s="25"/>
      <c r="U342" s="25"/>
      <c r="V342" s="25"/>
      <c r="W342" s="25"/>
    </row>
    <row r="343" spans="1:23">
      <c r="A343" s="225" t="s">
        <v>20</v>
      </c>
      <c r="B343" s="229" t="s">
        <v>31</v>
      </c>
      <c r="C343" s="15"/>
      <c r="D343" s="226" t="s">
        <v>349</v>
      </c>
      <c r="E343" s="226" t="s">
        <v>92</v>
      </c>
      <c r="F343" s="226" t="s">
        <v>93</v>
      </c>
      <c r="G343" s="226" t="s">
        <v>114</v>
      </c>
      <c r="H343" s="250">
        <v>800</v>
      </c>
      <c r="I343" s="125"/>
      <c r="J343" s="125"/>
      <c r="K343" s="27"/>
      <c r="L343" s="25"/>
      <c r="M343" s="25"/>
      <c r="N343" s="25"/>
      <c r="O343" s="25">
        <f>P343+Q343</f>
        <v>0</v>
      </c>
      <c r="P343" s="25"/>
      <c r="Q343" s="25"/>
      <c r="R343" s="25">
        <f>SUM(S343:T343)</f>
        <v>0</v>
      </c>
      <c r="S343" s="25"/>
      <c r="T343" s="25"/>
      <c r="U343" s="25">
        <f>SUM(V343:W343)</f>
        <v>0</v>
      </c>
      <c r="V343" s="25"/>
      <c r="W343" s="25"/>
    </row>
    <row r="344" spans="1:23">
      <c r="A344" s="411" t="s">
        <v>88</v>
      </c>
      <c r="B344" s="411"/>
      <c r="C344" s="411"/>
      <c r="D344" s="411"/>
      <c r="E344" s="411"/>
      <c r="F344" s="411"/>
      <c r="G344" s="411"/>
      <c r="H344" s="411"/>
      <c r="I344" s="411"/>
      <c r="J344" s="411"/>
      <c r="K344" s="411"/>
      <c r="L344" s="22">
        <f t="shared" ref="L344:W344" si="158">L345+L351+L359</f>
        <v>9900.3000000000011</v>
      </c>
      <c r="M344" s="22">
        <f t="shared" si="158"/>
        <v>10839.5</v>
      </c>
      <c r="N344" s="22">
        <f t="shared" si="158"/>
        <v>6504</v>
      </c>
      <c r="O344" s="22">
        <f t="shared" si="158"/>
        <v>12658.9</v>
      </c>
      <c r="P344" s="22">
        <f t="shared" si="158"/>
        <v>12658.9</v>
      </c>
      <c r="Q344" s="22">
        <f t="shared" si="158"/>
        <v>0</v>
      </c>
      <c r="R344" s="22">
        <f t="shared" si="158"/>
        <v>12541.3</v>
      </c>
      <c r="S344" s="22">
        <f t="shared" si="158"/>
        <v>12541.3</v>
      </c>
      <c r="T344" s="22">
        <f t="shared" si="158"/>
        <v>0</v>
      </c>
      <c r="U344" s="22">
        <f t="shared" si="158"/>
        <v>12667.8</v>
      </c>
      <c r="V344" s="22">
        <f t="shared" si="158"/>
        <v>12667.8</v>
      </c>
      <c r="W344" s="22">
        <f t="shared" si="158"/>
        <v>0</v>
      </c>
    </row>
    <row r="345" spans="1:23">
      <c r="A345" s="225" t="s">
        <v>12</v>
      </c>
      <c r="B345" s="229" t="s">
        <v>58</v>
      </c>
      <c r="C345" s="121"/>
      <c r="D345" s="218"/>
      <c r="E345" s="250"/>
      <c r="F345" s="250"/>
      <c r="G345" s="250"/>
      <c r="H345" s="250">
        <v>100</v>
      </c>
      <c r="I345" s="111"/>
      <c r="J345" s="121"/>
      <c r="K345" s="121"/>
      <c r="L345" s="25">
        <f>L346</f>
        <v>7837.4000000000005</v>
      </c>
      <c r="M345" s="25">
        <f>M346</f>
        <v>8874.7999999999993</v>
      </c>
      <c r="N345" s="25">
        <f>N346</f>
        <v>5270.8</v>
      </c>
      <c r="O345" s="25">
        <f>P345+Q345</f>
        <v>10757.7</v>
      </c>
      <c r="P345" s="25">
        <f t="shared" ref="P345:W345" si="159">P346</f>
        <v>10757.7</v>
      </c>
      <c r="Q345" s="25">
        <f t="shared" si="159"/>
        <v>0</v>
      </c>
      <c r="R345" s="25">
        <f t="shared" si="159"/>
        <v>10658</v>
      </c>
      <c r="S345" s="25">
        <f t="shared" si="159"/>
        <v>10658</v>
      </c>
      <c r="T345" s="25">
        <f t="shared" si="159"/>
        <v>0</v>
      </c>
      <c r="U345" s="25">
        <f t="shared" si="159"/>
        <v>10765.4</v>
      </c>
      <c r="V345" s="25">
        <f t="shared" si="159"/>
        <v>10765.4</v>
      </c>
      <c r="W345" s="25">
        <f t="shared" si="159"/>
        <v>0</v>
      </c>
    </row>
    <row r="346" spans="1:23" ht="37.5">
      <c r="A346" s="225" t="s">
        <v>48</v>
      </c>
      <c r="B346" s="229" t="s">
        <v>479</v>
      </c>
      <c r="C346" s="121"/>
      <c r="D346" s="218"/>
      <c r="E346" s="250"/>
      <c r="F346" s="250"/>
      <c r="G346" s="250"/>
      <c r="H346" s="250">
        <v>100</v>
      </c>
      <c r="I346" s="111"/>
      <c r="J346" s="121"/>
      <c r="K346" s="121"/>
      <c r="L346" s="25">
        <f>L347+L349</f>
        <v>7837.4000000000005</v>
      </c>
      <c r="M346" s="25">
        <f>M347+M349</f>
        <v>8874.7999999999993</v>
      </c>
      <c r="N346" s="25">
        <f>N347+N349</f>
        <v>5270.8</v>
      </c>
      <c r="O346" s="25">
        <f>P346+Q346</f>
        <v>10757.7</v>
      </c>
      <c r="P346" s="25">
        <f>P347+P349</f>
        <v>10757.7</v>
      </c>
      <c r="Q346" s="25">
        <f t="shared" ref="Q346:W346" si="160">Q347+Q349</f>
        <v>0</v>
      </c>
      <c r="R346" s="25">
        <f t="shared" si="160"/>
        <v>10658</v>
      </c>
      <c r="S346" s="25">
        <f t="shared" si="160"/>
        <v>10658</v>
      </c>
      <c r="T346" s="25">
        <f t="shared" si="160"/>
        <v>0</v>
      </c>
      <c r="U346" s="25">
        <f t="shared" si="160"/>
        <v>10765.4</v>
      </c>
      <c r="V346" s="25">
        <f t="shared" si="160"/>
        <v>10765.4</v>
      </c>
      <c r="W346" s="25">
        <f t="shared" si="160"/>
        <v>0</v>
      </c>
    </row>
    <row r="347" spans="1:23">
      <c r="A347" s="403" t="s">
        <v>235</v>
      </c>
      <c r="B347" s="427" t="s">
        <v>236</v>
      </c>
      <c r="C347" s="424" t="s">
        <v>104</v>
      </c>
      <c r="D347" s="447" t="s">
        <v>403</v>
      </c>
      <c r="E347" s="447" t="s">
        <v>95</v>
      </c>
      <c r="F347" s="447" t="s">
        <v>80</v>
      </c>
      <c r="G347" s="447" t="s">
        <v>96</v>
      </c>
      <c r="H347" s="456">
        <v>100</v>
      </c>
      <c r="I347" s="449" t="s">
        <v>201</v>
      </c>
      <c r="J347" s="424" t="s">
        <v>202</v>
      </c>
      <c r="K347" s="424"/>
      <c r="L347" s="454">
        <v>7791.3</v>
      </c>
      <c r="M347" s="454">
        <v>8792.2999999999993</v>
      </c>
      <c r="N347" s="454">
        <v>5238.8</v>
      </c>
      <c r="O347" s="454">
        <f>P347+Q347</f>
        <v>10574.2</v>
      </c>
      <c r="P347" s="454">
        <v>10574.2</v>
      </c>
      <c r="Q347" s="454"/>
      <c r="R347" s="454">
        <f>S347+T347</f>
        <v>10476.200000000001</v>
      </c>
      <c r="S347" s="454">
        <v>10476.200000000001</v>
      </c>
      <c r="T347" s="454"/>
      <c r="U347" s="454">
        <f>V347+W347</f>
        <v>10581.8</v>
      </c>
      <c r="V347" s="454">
        <v>10581.8</v>
      </c>
      <c r="W347" s="454"/>
    </row>
    <row r="348" spans="1:23">
      <c r="A348" s="403"/>
      <c r="B348" s="427"/>
      <c r="C348" s="424"/>
      <c r="D348" s="447"/>
      <c r="E348" s="447"/>
      <c r="F348" s="447"/>
      <c r="G348" s="447"/>
      <c r="H348" s="456"/>
      <c r="I348" s="449"/>
      <c r="J348" s="424"/>
      <c r="K348" s="424"/>
      <c r="L348" s="454"/>
      <c r="M348" s="454"/>
      <c r="N348" s="454"/>
      <c r="O348" s="454"/>
      <c r="P348" s="454"/>
      <c r="Q348" s="454"/>
      <c r="R348" s="454"/>
      <c r="S348" s="454"/>
      <c r="T348" s="454"/>
      <c r="U348" s="454"/>
      <c r="V348" s="454"/>
      <c r="W348" s="454"/>
    </row>
    <row r="349" spans="1:23">
      <c r="A349" s="403" t="s">
        <v>237</v>
      </c>
      <c r="B349" s="427" t="s">
        <v>238</v>
      </c>
      <c r="C349" s="424" t="s">
        <v>113</v>
      </c>
      <c r="D349" s="447" t="s">
        <v>395</v>
      </c>
      <c r="E349" s="447" t="s">
        <v>98</v>
      </c>
      <c r="F349" s="447" t="s">
        <v>98</v>
      </c>
      <c r="G349" s="447" t="s">
        <v>100</v>
      </c>
      <c r="H349" s="456">
        <v>100</v>
      </c>
      <c r="I349" s="449" t="s">
        <v>480</v>
      </c>
      <c r="J349" s="424" t="s">
        <v>204</v>
      </c>
      <c r="K349" s="424"/>
      <c r="L349" s="454">
        <v>46.1</v>
      </c>
      <c r="M349" s="454">
        <v>82.5</v>
      </c>
      <c r="N349" s="454">
        <v>32</v>
      </c>
      <c r="O349" s="454">
        <f>P349+Q349</f>
        <v>183.5</v>
      </c>
      <c r="P349" s="454">
        <v>183.5</v>
      </c>
      <c r="Q349" s="454"/>
      <c r="R349" s="454">
        <f>S349+T349</f>
        <v>181.8</v>
      </c>
      <c r="S349" s="454">
        <v>181.8</v>
      </c>
      <c r="T349" s="454"/>
      <c r="U349" s="454">
        <f>V349+W349</f>
        <v>183.6</v>
      </c>
      <c r="V349" s="454">
        <v>183.6</v>
      </c>
      <c r="W349" s="454"/>
    </row>
    <row r="350" spans="1:23">
      <c r="A350" s="403"/>
      <c r="B350" s="427"/>
      <c r="C350" s="424"/>
      <c r="D350" s="447"/>
      <c r="E350" s="447"/>
      <c r="F350" s="447"/>
      <c r="G350" s="447"/>
      <c r="H350" s="456"/>
      <c r="I350" s="449"/>
      <c r="J350" s="424"/>
      <c r="K350" s="424"/>
      <c r="L350" s="454"/>
      <c r="M350" s="454"/>
      <c r="N350" s="454"/>
      <c r="O350" s="454"/>
      <c r="P350" s="454"/>
      <c r="Q350" s="454"/>
      <c r="R350" s="454"/>
      <c r="S350" s="454"/>
      <c r="T350" s="454"/>
      <c r="U350" s="454"/>
      <c r="V350" s="454"/>
      <c r="W350" s="454"/>
    </row>
    <row r="351" spans="1:23" ht="37.5">
      <c r="A351" s="225" t="s">
        <v>13</v>
      </c>
      <c r="B351" s="229" t="s">
        <v>32</v>
      </c>
      <c r="C351" s="15"/>
      <c r="D351" s="375"/>
      <c r="E351" s="250"/>
      <c r="F351" s="250"/>
      <c r="G351" s="250"/>
      <c r="H351" s="250">
        <v>200</v>
      </c>
      <c r="I351" s="15"/>
      <c r="J351" s="15"/>
      <c r="K351" s="27"/>
      <c r="L351" s="25">
        <f>L352</f>
        <v>2061.6999999999998</v>
      </c>
      <c r="M351" s="25">
        <f t="shared" ref="M351:W351" si="161">M352</f>
        <v>1958</v>
      </c>
      <c r="N351" s="25">
        <f t="shared" si="161"/>
        <v>1232.2999999999997</v>
      </c>
      <c r="O351" s="25">
        <f t="shared" si="161"/>
        <v>1895.3</v>
      </c>
      <c r="P351" s="25">
        <f t="shared" si="161"/>
        <v>1895.3</v>
      </c>
      <c r="Q351" s="25">
        <f t="shared" si="161"/>
        <v>0</v>
      </c>
      <c r="R351" s="25">
        <f t="shared" si="161"/>
        <v>1877.4999999999998</v>
      </c>
      <c r="S351" s="25">
        <f t="shared" si="161"/>
        <v>1877.4999999999998</v>
      </c>
      <c r="T351" s="25">
        <f t="shared" si="161"/>
        <v>0</v>
      </c>
      <c r="U351" s="25">
        <f t="shared" si="161"/>
        <v>1896.4999999999998</v>
      </c>
      <c r="V351" s="25">
        <f t="shared" si="161"/>
        <v>1896.4999999999998</v>
      </c>
      <c r="W351" s="25">
        <f t="shared" si="161"/>
        <v>0</v>
      </c>
    </row>
    <row r="352" spans="1:23" ht="37.5">
      <c r="A352" s="225" t="s">
        <v>49</v>
      </c>
      <c r="B352" s="229" t="s">
        <v>481</v>
      </c>
      <c r="C352" s="15"/>
      <c r="D352" s="375"/>
      <c r="E352" s="250"/>
      <c r="F352" s="250"/>
      <c r="G352" s="250"/>
      <c r="H352" s="250">
        <v>200</v>
      </c>
      <c r="I352" s="15"/>
      <c r="J352" s="15"/>
      <c r="K352" s="27"/>
      <c r="L352" s="25">
        <f>L353+L354+L355+L356+L357+L358</f>
        <v>2061.6999999999998</v>
      </c>
      <c r="M352" s="25">
        <f t="shared" ref="M352:W352" si="162">M353+M354+M355+M356+M357+M358</f>
        <v>1958</v>
      </c>
      <c r="N352" s="25">
        <f t="shared" si="162"/>
        <v>1232.2999999999997</v>
      </c>
      <c r="O352" s="25">
        <f t="shared" si="162"/>
        <v>1895.3</v>
      </c>
      <c r="P352" s="25">
        <f t="shared" si="162"/>
        <v>1895.3</v>
      </c>
      <c r="Q352" s="25">
        <f t="shared" si="162"/>
        <v>0</v>
      </c>
      <c r="R352" s="25">
        <f t="shared" si="162"/>
        <v>1877.4999999999998</v>
      </c>
      <c r="S352" s="25">
        <f t="shared" si="162"/>
        <v>1877.4999999999998</v>
      </c>
      <c r="T352" s="25">
        <f t="shared" si="162"/>
        <v>0</v>
      </c>
      <c r="U352" s="25">
        <f t="shared" si="162"/>
        <v>1896.4999999999998</v>
      </c>
      <c r="V352" s="25">
        <f t="shared" si="162"/>
        <v>1896.4999999999998</v>
      </c>
      <c r="W352" s="25">
        <f t="shared" si="162"/>
        <v>0</v>
      </c>
    </row>
    <row r="353" spans="1:23" ht="93.75">
      <c r="A353" s="225" t="s">
        <v>239</v>
      </c>
      <c r="B353" s="229" t="s">
        <v>236</v>
      </c>
      <c r="C353" s="121" t="s">
        <v>104</v>
      </c>
      <c r="D353" s="375"/>
      <c r="E353" s="226" t="s">
        <v>95</v>
      </c>
      <c r="F353" s="226" t="s">
        <v>80</v>
      </c>
      <c r="G353" s="226" t="s">
        <v>96</v>
      </c>
      <c r="H353" s="250">
        <v>200</v>
      </c>
      <c r="I353" s="449" t="s">
        <v>240</v>
      </c>
      <c r="J353" s="449" t="s">
        <v>241</v>
      </c>
      <c r="K353" s="27"/>
      <c r="L353" s="25">
        <v>1157.4000000000001</v>
      </c>
      <c r="M353" s="25">
        <v>1122.0999999999999</v>
      </c>
      <c r="N353" s="25">
        <v>850.8</v>
      </c>
      <c r="O353" s="251">
        <f t="shared" ref="O353:O358" si="163">P353+Q353</f>
        <v>1090.4000000000001</v>
      </c>
      <c r="P353" s="25">
        <v>1090.4000000000001</v>
      </c>
      <c r="Q353" s="25"/>
      <c r="R353" s="251">
        <f t="shared" ref="R353:R358" si="164">S353+T353</f>
        <v>1080.0999999999999</v>
      </c>
      <c r="S353" s="25">
        <v>1080.0999999999999</v>
      </c>
      <c r="T353" s="25"/>
      <c r="U353" s="251">
        <f t="shared" ref="U353:U358" si="165">V353+W353</f>
        <v>1091.0999999999999</v>
      </c>
      <c r="V353" s="25">
        <v>1091.0999999999999</v>
      </c>
      <c r="W353" s="25"/>
    </row>
    <row r="354" spans="1:23" ht="112.5">
      <c r="A354" s="225" t="s">
        <v>242</v>
      </c>
      <c r="B354" s="229" t="s">
        <v>243</v>
      </c>
      <c r="C354" s="121" t="s">
        <v>104</v>
      </c>
      <c r="D354" s="226" t="s">
        <v>403</v>
      </c>
      <c r="E354" s="226" t="s">
        <v>95</v>
      </c>
      <c r="F354" s="226" t="s">
        <v>80</v>
      </c>
      <c r="G354" s="226" t="s">
        <v>184</v>
      </c>
      <c r="H354" s="250">
        <v>200</v>
      </c>
      <c r="I354" s="455"/>
      <c r="J354" s="455"/>
      <c r="K354" s="27"/>
      <c r="L354" s="25">
        <v>9.4</v>
      </c>
      <c r="M354" s="25">
        <v>8.9</v>
      </c>
      <c r="N354" s="25">
        <v>8.9</v>
      </c>
      <c r="O354" s="251">
        <f t="shared" si="163"/>
        <v>7.8</v>
      </c>
      <c r="P354" s="25">
        <v>7.8</v>
      </c>
      <c r="Q354" s="25"/>
      <c r="R354" s="251">
        <f t="shared" si="164"/>
        <v>7.7</v>
      </c>
      <c r="S354" s="25">
        <v>7.7</v>
      </c>
      <c r="T354" s="25"/>
      <c r="U354" s="251">
        <f t="shared" si="165"/>
        <v>7.8</v>
      </c>
      <c r="V354" s="25">
        <v>7.8</v>
      </c>
      <c r="W354" s="25"/>
    </row>
    <row r="355" spans="1:23" ht="187.5">
      <c r="A355" s="225" t="s">
        <v>248</v>
      </c>
      <c r="B355" s="229" t="s">
        <v>249</v>
      </c>
      <c r="C355" s="121" t="s">
        <v>482</v>
      </c>
      <c r="D355" s="226" t="s">
        <v>395</v>
      </c>
      <c r="E355" s="226" t="s">
        <v>98</v>
      </c>
      <c r="F355" s="226" t="s">
        <v>95</v>
      </c>
      <c r="G355" s="226" t="s">
        <v>225</v>
      </c>
      <c r="H355" s="250">
        <v>200</v>
      </c>
      <c r="I355" s="449" t="s">
        <v>483</v>
      </c>
      <c r="J355" s="449" t="s">
        <v>476</v>
      </c>
      <c r="K355" s="27"/>
      <c r="L355" s="25">
        <v>561.5</v>
      </c>
      <c r="M355" s="25">
        <v>488.5</v>
      </c>
      <c r="N355" s="25">
        <v>188.5</v>
      </c>
      <c r="O355" s="25">
        <f t="shared" si="163"/>
        <v>448.5</v>
      </c>
      <c r="P355" s="25">
        <v>448.5</v>
      </c>
      <c r="Q355" s="25"/>
      <c r="R355" s="25">
        <f t="shared" si="164"/>
        <v>444.3</v>
      </c>
      <c r="S355" s="25">
        <v>444.3</v>
      </c>
      <c r="T355" s="25"/>
      <c r="U355" s="25">
        <f t="shared" si="165"/>
        <v>448.8</v>
      </c>
      <c r="V355" s="25">
        <v>448.8</v>
      </c>
      <c r="W355" s="25"/>
    </row>
    <row r="356" spans="1:23" ht="75">
      <c r="A356" s="225" t="s">
        <v>250</v>
      </c>
      <c r="B356" s="229" t="s">
        <v>251</v>
      </c>
      <c r="C356" s="121" t="s">
        <v>110</v>
      </c>
      <c r="D356" s="226" t="s">
        <v>395</v>
      </c>
      <c r="E356" s="226" t="s">
        <v>98</v>
      </c>
      <c r="F356" s="226" t="s">
        <v>95</v>
      </c>
      <c r="G356" s="226" t="s">
        <v>126</v>
      </c>
      <c r="H356" s="250">
        <v>200</v>
      </c>
      <c r="I356" s="449"/>
      <c r="J356" s="449"/>
      <c r="K356" s="27"/>
      <c r="L356" s="25">
        <v>302.60000000000002</v>
      </c>
      <c r="M356" s="25">
        <v>308.8</v>
      </c>
      <c r="N356" s="25">
        <v>180.3</v>
      </c>
      <c r="O356" s="25">
        <f t="shared" si="163"/>
        <v>322.5</v>
      </c>
      <c r="P356" s="25">
        <v>322.5</v>
      </c>
      <c r="Q356" s="25"/>
      <c r="R356" s="25">
        <f t="shared" si="164"/>
        <v>319.5</v>
      </c>
      <c r="S356" s="25">
        <v>319.5</v>
      </c>
      <c r="T356" s="25"/>
      <c r="U356" s="25">
        <f t="shared" si="165"/>
        <v>322.7</v>
      </c>
      <c r="V356" s="25">
        <v>322.7</v>
      </c>
      <c r="W356" s="25"/>
    </row>
    <row r="357" spans="1:23" ht="206.25">
      <c r="A357" s="225" t="s">
        <v>252</v>
      </c>
      <c r="B357" s="229" t="s">
        <v>484</v>
      </c>
      <c r="C357" s="121" t="s">
        <v>485</v>
      </c>
      <c r="D357" s="226" t="s">
        <v>395</v>
      </c>
      <c r="E357" s="226" t="s">
        <v>98</v>
      </c>
      <c r="F357" s="226" t="s">
        <v>95</v>
      </c>
      <c r="G357" s="226" t="s">
        <v>226</v>
      </c>
      <c r="H357" s="250">
        <v>200</v>
      </c>
      <c r="I357" s="449"/>
      <c r="J357" s="449"/>
      <c r="K357" s="27"/>
      <c r="L357" s="25">
        <v>26.7</v>
      </c>
      <c r="M357" s="25">
        <v>25.4</v>
      </c>
      <c r="N357" s="25">
        <v>3.8</v>
      </c>
      <c r="O357" s="25">
        <f t="shared" si="163"/>
        <v>22.3</v>
      </c>
      <c r="P357" s="25">
        <v>22.3</v>
      </c>
      <c r="Q357" s="25"/>
      <c r="R357" s="25">
        <f t="shared" si="164"/>
        <v>22.1</v>
      </c>
      <c r="S357" s="25">
        <v>22.1</v>
      </c>
      <c r="T357" s="25"/>
      <c r="U357" s="25">
        <f t="shared" si="165"/>
        <v>22.3</v>
      </c>
      <c r="V357" s="25">
        <v>22.3</v>
      </c>
      <c r="W357" s="25"/>
    </row>
    <row r="358" spans="1:23" ht="75">
      <c r="A358" s="225" t="s">
        <v>253</v>
      </c>
      <c r="B358" s="229" t="s">
        <v>254</v>
      </c>
      <c r="C358" s="121" t="s">
        <v>112</v>
      </c>
      <c r="D358" s="226" t="s">
        <v>395</v>
      </c>
      <c r="E358" s="226" t="s">
        <v>98</v>
      </c>
      <c r="F358" s="226" t="s">
        <v>95</v>
      </c>
      <c r="G358" s="226" t="s">
        <v>178</v>
      </c>
      <c r="H358" s="250">
        <v>200</v>
      </c>
      <c r="I358" s="449"/>
      <c r="J358" s="449"/>
      <c r="K358" s="27"/>
      <c r="L358" s="25">
        <v>4.0999999999999996</v>
      </c>
      <c r="M358" s="25">
        <v>4.3</v>
      </c>
      <c r="N358" s="25"/>
      <c r="O358" s="25">
        <f t="shared" si="163"/>
        <v>3.8</v>
      </c>
      <c r="P358" s="25">
        <v>3.8</v>
      </c>
      <c r="Q358" s="25"/>
      <c r="R358" s="25">
        <f t="shared" si="164"/>
        <v>3.8</v>
      </c>
      <c r="S358" s="25">
        <v>3.8</v>
      </c>
      <c r="T358" s="25"/>
      <c r="U358" s="25">
        <f t="shared" si="165"/>
        <v>3.8</v>
      </c>
      <c r="V358" s="25">
        <v>3.8</v>
      </c>
      <c r="W358" s="25"/>
    </row>
    <row r="359" spans="1:23">
      <c r="A359" s="225" t="s">
        <v>50</v>
      </c>
      <c r="B359" s="229" t="s">
        <v>31</v>
      </c>
      <c r="C359" s="15"/>
      <c r="D359" s="375"/>
      <c r="E359" s="250"/>
      <c r="F359" s="250"/>
      <c r="G359" s="250"/>
      <c r="H359" s="250">
        <v>800</v>
      </c>
      <c r="I359" s="15"/>
      <c r="J359" s="15"/>
      <c r="K359" s="27"/>
      <c r="L359" s="25">
        <f>L360</f>
        <v>1.2</v>
      </c>
      <c r="M359" s="25">
        <f t="shared" ref="M359:W359" si="166">M360</f>
        <v>6.7</v>
      </c>
      <c r="N359" s="25">
        <f t="shared" si="166"/>
        <v>0.9</v>
      </c>
      <c r="O359" s="25">
        <f t="shared" si="166"/>
        <v>5.9</v>
      </c>
      <c r="P359" s="25">
        <f t="shared" si="166"/>
        <v>5.9</v>
      </c>
      <c r="Q359" s="25">
        <f t="shared" si="166"/>
        <v>0</v>
      </c>
      <c r="R359" s="25">
        <f t="shared" si="166"/>
        <v>5.8</v>
      </c>
      <c r="S359" s="25">
        <f t="shared" si="166"/>
        <v>5.8</v>
      </c>
      <c r="T359" s="25">
        <f t="shared" si="166"/>
        <v>0</v>
      </c>
      <c r="U359" s="25">
        <f t="shared" si="166"/>
        <v>5.9</v>
      </c>
      <c r="V359" s="25">
        <f t="shared" si="166"/>
        <v>5.9</v>
      </c>
      <c r="W359" s="25">
        <f t="shared" si="166"/>
        <v>0</v>
      </c>
    </row>
    <row r="360" spans="1:23" ht="37.5">
      <c r="A360" s="225" t="s">
        <v>51</v>
      </c>
      <c r="B360" s="229" t="s">
        <v>486</v>
      </c>
      <c r="C360" s="15"/>
      <c r="D360" s="375"/>
      <c r="E360" s="250"/>
      <c r="F360" s="250"/>
      <c r="G360" s="250"/>
      <c r="H360" s="250">
        <v>800</v>
      </c>
      <c r="I360" s="15"/>
      <c r="J360" s="15"/>
      <c r="K360" s="27"/>
      <c r="L360" s="25">
        <f t="shared" ref="L360:W360" si="167">L361</f>
        <v>1.2</v>
      </c>
      <c r="M360" s="25">
        <f t="shared" si="167"/>
        <v>6.7</v>
      </c>
      <c r="N360" s="25">
        <f t="shared" si="167"/>
        <v>0.9</v>
      </c>
      <c r="O360" s="25">
        <f>P360+Q360</f>
        <v>5.9</v>
      </c>
      <c r="P360" s="25">
        <v>5.9</v>
      </c>
      <c r="Q360" s="25">
        <f t="shared" si="167"/>
        <v>0</v>
      </c>
      <c r="R360" s="25">
        <f t="shared" si="167"/>
        <v>5.8</v>
      </c>
      <c r="S360" s="25">
        <v>5.8</v>
      </c>
      <c r="T360" s="25">
        <f t="shared" si="167"/>
        <v>0</v>
      </c>
      <c r="U360" s="25">
        <f t="shared" si="167"/>
        <v>5.9</v>
      </c>
      <c r="V360" s="25">
        <f t="shared" si="167"/>
        <v>5.9</v>
      </c>
      <c r="W360" s="25">
        <f t="shared" si="167"/>
        <v>0</v>
      </c>
    </row>
    <row r="361" spans="1:23" ht="281.25">
      <c r="A361" s="225" t="s">
        <v>191</v>
      </c>
      <c r="B361" s="229" t="s">
        <v>257</v>
      </c>
      <c r="C361" s="121" t="s">
        <v>104</v>
      </c>
      <c r="D361" s="375"/>
      <c r="E361" s="226" t="s">
        <v>95</v>
      </c>
      <c r="F361" s="226" t="s">
        <v>80</v>
      </c>
      <c r="G361" s="226" t="s">
        <v>96</v>
      </c>
      <c r="H361" s="250">
        <v>800</v>
      </c>
      <c r="I361" s="125" t="s">
        <v>207</v>
      </c>
      <c r="J361" s="125" t="s">
        <v>105</v>
      </c>
      <c r="K361" s="121"/>
      <c r="L361" s="25">
        <v>1.2</v>
      </c>
      <c r="M361" s="25">
        <v>6.7</v>
      </c>
      <c r="N361" s="25">
        <v>0.9</v>
      </c>
      <c r="O361" s="25">
        <f>P361+Q361</f>
        <v>5.9</v>
      </c>
      <c r="P361" s="25">
        <v>5.9</v>
      </c>
      <c r="Q361" s="25"/>
      <c r="R361" s="25">
        <f>S361+T361</f>
        <v>5.8</v>
      </c>
      <c r="S361" s="25">
        <v>5.8</v>
      </c>
      <c r="T361" s="25"/>
      <c r="U361" s="25">
        <f>V361+W361</f>
        <v>5.9</v>
      </c>
      <c r="V361" s="25">
        <v>5.9</v>
      </c>
      <c r="W361" s="25"/>
    </row>
    <row r="362" spans="1:23" ht="56.25">
      <c r="A362" s="12" t="s">
        <v>139</v>
      </c>
      <c r="B362" s="180" t="s">
        <v>392</v>
      </c>
      <c r="C362" s="8"/>
      <c r="D362" s="644"/>
      <c r="E362" s="644"/>
      <c r="F362" s="644"/>
      <c r="G362" s="644"/>
      <c r="H362" s="644"/>
      <c r="I362" s="8"/>
      <c r="J362" s="8"/>
      <c r="K362" s="8" t="s">
        <v>62</v>
      </c>
      <c r="L362" s="19">
        <f>SUM(L363,L367)</f>
        <v>11965.800000000001</v>
      </c>
      <c r="M362" s="19">
        <f t="shared" ref="M362:V362" si="168">SUM(M363,M367)</f>
        <v>12364.400000000001</v>
      </c>
      <c r="N362" s="19">
        <f t="shared" si="168"/>
        <v>7799.8</v>
      </c>
      <c r="O362" s="19">
        <f t="shared" si="168"/>
        <v>12655.1</v>
      </c>
      <c r="P362" s="19">
        <f t="shared" si="168"/>
        <v>12655.1</v>
      </c>
      <c r="Q362" s="19">
        <f t="shared" si="168"/>
        <v>0</v>
      </c>
      <c r="R362" s="19">
        <f t="shared" si="168"/>
        <v>12543.2</v>
      </c>
      <c r="S362" s="19">
        <f t="shared" si="168"/>
        <v>12543.2</v>
      </c>
      <c r="T362" s="19">
        <f t="shared" si="168"/>
        <v>0</v>
      </c>
      <c r="U362" s="19">
        <f t="shared" si="168"/>
        <v>12663.7</v>
      </c>
      <c r="V362" s="19">
        <f t="shared" si="168"/>
        <v>12663.7</v>
      </c>
      <c r="W362" s="19">
        <f t="shared" ref="W362" si="169">SUM(W363,W367)</f>
        <v>0</v>
      </c>
    </row>
    <row r="363" spans="1:23">
      <c r="A363" s="630" t="s">
        <v>9</v>
      </c>
      <c r="B363" s="421" t="s">
        <v>67</v>
      </c>
      <c r="C363" s="421"/>
      <c r="D363" s="421"/>
      <c r="E363" s="421"/>
      <c r="F363" s="421"/>
      <c r="G363" s="421"/>
      <c r="H363" s="421"/>
      <c r="I363" s="421"/>
      <c r="J363" s="421"/>
      <c r="K363" s="421"/>
      <c r="L363" s="20">
        <f>SUM(L364,)</f>
        <v>10696.800000000001</v>
      </c>
      <c r="M363" s="20">
        <f t="shared" ref="M363:W363" si="170">SUM(M364,)</f>
        <v>10875.2</v>
      </c>
      <c r="N363" s="20">
        <f t="shared" si="170"/>
        <v>7052.6</v>
      </c>
      <c r="O363" s="20">
        <f t="shared" si="170"/>
        <v>12055.1</v>
      </c>
      <c r="P363" s="20">
        <f t="shared" si="170"/>
        <v>12055.1</v>
      </c>
      <c r="Q363" s="20">
        <f t="shared" si="170"/>
        <v>0</v>
      </c>
      <c r="R363" s="20">
        <f t="shared" si="170"/>
        <v>11943.2</v>
      </c>
      <c r="S363" s="20">
        <f t="shared" si="170"/>
        <v>11943.2</v>
      </c>
      <c r="T363" s="20">
        <f t="shared" si="170"/>
        <v>0</v>
      </c>
      <c r="U363" s="20">
        <f t="shared" si="170"/>
        <v>12063.7</v>
      </c>
      <c r="V363" s="20">
        <f t="shared" si="170"/>
        <v>12063.7</v>
      </c>
      <c r="W363" s="20">
        <f t="shared" si="170"/>
        <v>0</v>
      </c>
    </row>
    <row r="364" spans="1:23">
      <c r="A364" s="235" t="s">
        <v>57</v>
      </c>
      <c r="B364" s="229"/>
      <c r="C364" s="115"/>
      <c r="D364" s="383"/>
      <c r="E364" s="250"/>
      <c r="F364" s="250"/>
      <c r="G364" s="250"/>
      <c r="H364" s="250"/>
      <c r="I364" s="15"/>
      <c r="J364" s="115"/>
      <c r="K364" s="14"/>
      <c r="L364" s="22">
        <f t="shared" ref="L364:W364" si="171">SUM(L365:L366)</f>
        <v>10696.800000000001</v>
      </c>
      <c r="M364" s="22">
        <f t="shared" si="171"/>
        <v>10875.2</v>
      </c>
      <c r="N364" s="22">
        <f t="shared" si="171"/>
        <v>7052.6</v>
      </c>
      <c r="O364" s="22">
        <f t="shared" si="171"/>
        <v>12055.1</v>
      </c>
      <c r="P364" s="22">
        <f t="shared" si="171"/>
        <v>12055.1</v>
      </c>
      <c r="Q364" s="22">
        <f t="shared" si="171"/>
        <v>0</v>
      </c>
      <c r="R364" s="22">
        <f t="shared" si="171"/>
        <v>11943.2</v>
      </c>
      <c r="S364" s="22">
        <f t="shared" si="171"/>
        <v>11943.2</v>
      </c>
      <c r="T364" s="22">
        <f t="shared" si="171"/>
        <v>0</v>
      </c>
      <c r="U364" s="22">
        <f t="shared" si="171"/>
        <v>12063.7</v>
      </c>
      <c r="V364" s="22">
        <f t="shared" si="171"/>
        <v>12063.7</v>
      </c>
      <c r="W364" s="22">
        <f t="shared" si="171"/>
        <v>0</v>
      </c>
    </row>
    <row r="365" spans="1:23" ht="356.25">
      <c r="A365" s="225" t="s">
        <v>10</v>
      </c>
      <c r="B365" s="229" t="s">
        <v>68</v>
      </c>
      <c r="C365" s="121"/>
      <c r="D365" s="226" t="s">
        <v>383</v>
      </c>
      <c r="E365" s="250"/>
      <c r="F365" s="250"/>
      <c r="G365" s="250"/>
      <c r="H365" s="250">
        <v>100</v>
      </c>
      <c r="I365" s="125" t="s">
        <v>1035</v>
      </c>
      <c r="J365" s="121" t="s">
        <v>433</v>
      </c>
      <c r="K365" s="121"/>
      <c r="L365" s="25">
        <v>9974.7000000000007</v>
      </c>
      <c r="M365" s="25">
        <v>9881.1</v>
      </c>
      <c r="N365" s="25">
        <v>6692.6</v>
      </c>
      <c r="O365" s="25">
        <v>10969</v>
      </c>
      <c r="P365" s="25">
        <v>10969</v>
      </c>
      <c r="Q365" s="25"/>
      <c r="R365" s="25">
        <v>11065.6</v>
      </c>
      <c r="S365" s="25">
        <v>11065.6</v>
      </c>
      <c r="T365" s="25"/>
      <c r="U365" s="25">
        <v>11177</v>
      </c>
      <c r="V365" s="25">
        <v>11177</v>
      </c>
      <c r="W365" s="25"/>
    </row>
    <row r="366" spans="1:23" ht="37.5">
      <c r="A366" s="225" t="s">
        <v>11</v>
      </c>
      <c r="B366" s="229" t="s">
        <v>69</v>
      </c>
      <c r="C366" s="15"/>
      <c r="D366" s="226" t="s">
        <v>349</v>
      </c>
      <c r="E366" s="250"/>
      <c r="F366" s="250"/>
      <c r="G366" s="250"/>
      <c r="H366" s="250">
        <v>200</v>
      </c>
      <c r="I366" s="15"/>
      <c r="J366" s="15"/>
      <c r="K366" s="27"/>
      <c r="L366" s="25">
        <v>722.1</v>
      </c>
      <c r="M366" s="25">
        <v>994.1</v>
      </c>
      <c r="N366" s="25">
        <v>360</v>
      </c>
      <c r="O366" s="25">
        <v>1086.0999999999999</v>
      </c>
      <c r="P366" s="25">
        <v>1086.0999999999999</v>
      </c>
      <c r="Q366" s="25"/>
      <c r="R366" s="25">
        <v>877.6</v>
      </c>
      <c r="S366" s="25">
        <v>877.6</v>
      </c>
      <c r="T366" s="25"/>
      <c r="U366" s="25">
        <v>886.7</v>
      </c>
      <c r="V366" s="25">
        <v>886.7</v>
      </c>
      <c r="W366" s="25"/>
    </row>
    <row r="367" spans="1:23">
      <c r="A367" s="630" t="s">
        <v>56</v>
      </c>
      <c r="B367" s="421" t="s">
        <v>31</v>
      </c>
      <c r="C367" s="421"/>
      <c r="D367" s="421"/>
      <c r="E367" s="421"/>
      <c r="F367" s="421"/>
      <c r="G367" s="421"/>
      <c r="H367" s="421"/>
      <c r="I367" s="421"/>
      <c r="J367" s="421"/>
      <c r="K367" s="421"/>
      <c r="L367" s="665">
        <f>L368</f>
        <v>1269</v>
      </c>
      <c r="M367" s="665">
        <f t="shared" ref="M367:W367" si="172">M368</f>
        <v>1489.2</v>
      </c>
      <c r="N367" s="665">
        <f t="shared" si="172"/>
        <v>747.2</v>
      </c>
      <c r="O367" s="665">
        <f t="shared" si="172"/>
        <v>600</v>
      </c>
      <c r="P367" s="665">
        <f t="shared" si="172"/>
        <v>600</v>
      </c>
      <c r="Q367" s="665">
        <f t="shared" si="172"/>
        <v>0</v>
      </c>
      <c r="R367" s="665">
        <f t="shared" si="172"/>
        <v>600</v>
      </c>
      <c r="S367" s="665">
        <f t="shared" si="172"/>
        <v>600</v>
      </c>
      <c r="T367" s="665">
        <f t="shared" si="172"/>
        <v>0</v>
      </c>
      <c r="U367" s="665">
        <f t="shared" si="172"/>
        <v>600</v>
      </c>
      <c r="V367" s="665">
        <f t="shared" si="172"/>
        <v>600</v>
      </c>
      <c r="W367" s="665">
        <f t="shared" si="172"/>
        <v>0</v>
      </c>
    </row>
    <row r="368" spans="1:23" ht="225">
      <c r="A368" s="225"/>
      <c r="B368" s="229"/>
      <c r="C368" s="41"/>
      <c r="D368" s="221" t="s">
        <v>404</v>
      </c>
      <c r="E368" s="250"/>
      <c r="F368" s="250"/>
      <c r="G368" s="250"/>
      <c r="H368" s="250"/>
      <c r="I368" s="125" t="s">
        <v>181</v>
      </c>
      <c r="J368" s="121" t="s">
        <v>434</v>
      </c>
      <c r="K368" s="41"/>
      <c r="L368" s="25">
        <v>1269</v>
      </c>
      <c r="M368" s="25">
        <v>1489.2</v>
      </c>
      <c r="N368" s="25">
        <v>747.2</v>
      </c>
      <c r="O368" s="25">
        <v>600</v>
      </c>
      <c r="P368" s="25">
        <v>600</v>
      </c>
      <c r="Q368" s="25"/>
      <c r="R368" s="25">
        <v>600</v>
      </c>
      <c r="S368" s="25">
        <v>600</v>
      </c>
      <c r="T368" s="25"/>
      <c r="U368" s="25">
        <v>600</v>
      </c>
      <c r="V368" s="25">
        <v>600</v>
      </c>
      <c r="W368" s="25"/>
    </row>
    <row r="369" spans="1:23" ht="56.25">
      <c r="A369" s="633" t="s">
        <v>140</v>
      </c>
      <c r="B369" s="396" t="s">
        <v>141</v>
      </c>
      <c r="C369" s="49"/>
      <c r="D369" s="645"/>
      <c r="E369" s="645"/>
      <c r="F369" s="645"/>
      <c r="G369" s="645"/>
      <c r="H369" s="645"/>
      <c r="I369" s="153"/>
      <c r="J369" s="49"/>
      <c r="K369" s="49" t="s">
        <v>62</v>
      </c>
      <c r="L369" s="154">
        <f>L370+L447</f>
        <v>485461.4</v>
      </c>
      <c r="M369" s="154">
        <v>738247.4</v>
      </c>
      <c r="N369" s="154">
        <f t="shared" ref="N369:W369" si="173">N370+N447</f>
        <v>359780.8</v>
      </c>
      <c r="O369" s="154">
        <f t="shared" si="173"/>
        <v>554669.59999999986</v>
      </c>
      <c r="P369" s="155">
        <f t="shared" si="173"/>
        <v>554669.59999999986</v>
      </c>
      <c r="Q369" s="154">
        <f t="shared" si="173"/>
        <v>0</v>
      </c>
      <c r="R369" s="154">
        <f t="shared" si="173"/>
        <v>529139.6</v>
      </c>
      <c r="S369" s="155">
        <f t="shared" si="173"/>
        <v>529139.6</v>
      </c>
      <c r="T369" s="154">
        <f t="shared" si="173"/>
        <v>0</v>
      </c>
      <c r="U369" s="154">
        <f t="shared" si="173"/>
        <v>528250.9</v>
      </c>
      <c r="V369" s="155">
        <f t="shared" si="173"/>
        <v>528250.9</v>
      </c>
      <c r="W369" s="154">
        <f t="shared" si="173"/>
        <v>0</v>
      </c>
    </row>
    <row r="370" spans="1:23">
      <c r="A370" s="630" t="s">
        <v>9</v>
      </c>
      <c r="B370" s="421" t="s">
        <v>67</v>
      </c>
      <c r="C370" s="421"/>
      <c r="D370" s="421"/>
      <c r="E370" s="421"/>
      <c r="F370" s="421"/>
      <c r="G370" s="421"/>
      <c r="H370" s="421"/>
      <c r="I370" s="421"/>
      <c r="J370" s="421"/>
      <c r="K370" s="421"/>
      <c r="L370" s="666">
        <f t="shared" ref="L370:W370" si="174">L371+L383+L395</f>
        <v>408212</v>
      </c>
      <c r="M370" s="666">
        <f t="shared" si="174"/>
        <v>659390.1</v>
      </c>
      <c r="N370" s="666">
        <f t="shared" si="174"/>
        <v>314252.5</v>
      </c>
      <c r="O370" s="666">
        <f t="shared" si="174"/>
        <v>464714.89999999991</v>
      </c>
      <c r="P370" s="666">
        <f t="shared" si="174"/>
        <v>464714.89999999991</v>
      </c>
      <c r="Q370" s="666">
        <f t="shared" si="174"/>
        <v>0</v>
      </c>
      <c r="R370" s="666">
        <f t="shared" si="174"/>
        <v>440036.69999999995</v>
      </c>
      <c r="S370" s="666">
        <f t="shared" si="174"/>
        <v>440036.69999999995</v>
      </c>
      <c r="T370" s="666">
        <f t="shared" si="174"/>
        <v>0</v>
      </c>
      <c r="U370" s="666">
        <f t="shared" si="174"/>
        <v>438229.8</v>
      </c>
      <c r="V370" s="666">
        <f t="shared" si="174"/>
        <v>438229.8</v>
      </c>
      <c r="W370" s="666">
        <f t="shared" si="174"/>
        <v>0</v>
      </c>
    </row>
    <row r="371" spans="1:23">
      <c r="A371" s="133" t="s">
        <v>57</v>
      </c>
      <c r="B371" s="229"/>
      <c r="C371" s="156"/>
      <c r="D371" s="646"/>
      <c r="E371" s="646"/>
      <c r="F371" s="646"/>
      <c r="G371" s="646"/>
      <c r="H371" s="646"/>
      <c r="I371" s="157"/>
      <c r="J371" s="156"/>
      <c r="K371" s="156"/>
      <c r="L371" s="158">
        <f t="shared" ref="L371:W371" si="175">L372+L377+L381</f>
        <v>25527.5</v>
      </c>
      <c r="M371" s="158">
        <f t="shared" si="175"/>
        <v>25236.1</v>
      </c>
      <c r="N371" s="158">
        <f t="shared" si="175"/>
        <v>16834.599999999999</v>
      </c>
      <c r="O371" s="158">
        <f>O372+O377+O381</f>
        <v>27017.200000000001</v>
      </c>
      <c r="P371" s="159">
        <f t="shared" si="175"/>
        <v>27017.200000000001</v>
      </c>
      <c r="Q371" s="158">
        <f t="shared" si="175"/>
        <v>0</v>
      </c>
      <c r="R371" s="158">
        <f t="shared" si="175"/>
        <v>26768</v>
      </c>
      <c r="S371" s="159">
        <f t="shared" si="175"/>
        <v>26768</v>
      </c>
      <c r="T371" s="158">
        <f t="shared" si="175"/>
        <v>0</v>
      </c>
      <c r="U371" s="158">
        <f t="shared" si="175"/>
        <v>27037.3</v>
      </c>
      <c r="V371" s="159">
        <f t="shared" si="175"/>
        <v>27037.3</v>
      </c>
      <c r="W371" s="158">
        <f t="shared" si="175"/>
        <v>0</v>
      </c>
    </row>
    <row r="372" spans="1:23" ht="37.5">
      <c r="A372" s="133" t="s">
        <v>10</v>
      </c>
      <c r="B372" s="229" t="s">
        <v>220</v>
      </c>
      <c r="C372" s="156"/>
      <c r="D372" s="646"/>
      <c r="E372" s="646"/>
      <c r="F372" s="646"/>
      <c r="G372" s="646"/>
      <c r="H372" s="646"/>
      <c r="I372" s="157"/>
      <c r="J372" s="156"/>
      <c r="K372" s="156"/>
      <c r="L372" s="95">
        <f>L373+L374+L375+L376</f>
        <v>22527</v>
      </c>
      <c r="M372" s="95">
        <f>M373+M374+M375+M376</f>
        <v>23527.3</v>
      </c>
      <c r="N372" s="95">
        <f t="shared" ref="N372:W372" si="176">N373+N374+N375+N376</f>
        <v>15833.8</v>
      </c>
      <c r="O372" s="95">
        <f t="shared" si="176"/>
        <v>25476.7</v>
      </c>
      <c r="P372" s="159">
        <f t="shared" si="176"/>
        <v>25476.7</v>
      </c>
      <c r="Q372" s="95">
        <f t="shared" si="176"/>
        <v>0</v>
      </c>
      <c r="R372" s="95">
        <f t="shared" si="176"/>
        <v>25241.5</v>
      </c>
      <c r="S372" s="159">
        <f t="shared" si="176"/>
        <v>25241.5</v>
      </c>
      <c r="T372" s="95">
        <f t="shared" si="176"/>
        <v>0</v>
      </c>
      <c r="U372" s="95">
        <f t="shared" si="176"/>
        <v>25496</v>
      </c>
      <c r="V372" s="159">
        <f t="shared" si="176"/>
        <v>25496</v>
      </c>
      <c r="W372" s="95">
        <f t="shared" si="176"/>
        <v>0</v>
      </c>
    </row>
    <row r="373" spans="1:23" ht="37.5">
      <c r="A373" s="403" t="s">
        <v>1129</v>
      </c>
      <c r="B373" s="427" t="s">
        <v>378</v>
      </c>
      <c r="C373" s="424" t="s">
        <v>1130</v>
      </c>
      <c r="D373" s="447" t="s">
        <v>383</v>
      </c>
      <c r="E373" s="226" t="s">
        <v>98</v>
      </c>
      <c r="F373" s="226" t="s">
        <v>98</v>
      </c>
      <c r="G373" s="226" t="s">
        <v>1131</v>
      </c>
      <c r="H373" s="250">
        <v>120</v>
      </c>
      <c r="I373" s="446" t="s">
        <v>1281</v>
      </c>
      <c r="J373" s="413" t="s">
        <v>1282</v>
      </c>
      <c r="K373" s="424"/>
      <c r="L373" s="87">
        <v>12509.8</v>
      </c>
      <c r="M373" s="87">
        <v>12999.2</v>
      </c>
      <c r="N373" s="87">
        <v>8992.6</v>
      </c>
      <c r="O373" s="87">
        <f>P373+Q373</f>
        <v>14080.6</v>
      </c>
      <c r="P373" s="87">
        <v>14080.6</v>
      </c>
      <c r="Q373" s="87">
        <v>0</v>
      </c>
      <c r="R373" s="87">
        <f t="shared" ref="R373:R376" si="177">S373+T373</f>
        <v>13951.2</v>
      </c>
      <c r="S373" s="87">
        <v>13951.2</v>
      </c>
      <c r="T373" s="87">
        <v>0</v>
      </c>
      <c r="U373" s="87">
        <f>V373+W373</f>
        <v>14091.7</v>
      </c>
      <c r="V373" s="87">
        <v>14091.7</v>
      </c>
      <c r="W373" s="87">
        <v>0</v>
      </c>
    </row>
    <row r="374" spans="1:23">
      <c r="A374" s="445"/>
      <c r="B374" s="445"/>
      <c r="C374" s="453"/>
      <c r="D374" s="447"/>
      <c r="E374" s="226" t="s">
        <v>98</v>
      </c>
      <c r="F374" s="226" t="s">
        <v>98</v>
      </c>
      <c r="G374" s="226" t="s">
        <v>986</v>
      </c>
      <c r="H374" s="250">
        <v>120</v>
      </c>
      <c r="I374" s="453"/>
      <c r="J374" s="413"/>
      <c r="K374" s="424"/>
      <c r="L374" s="87">
        <v>145</v>
      </c>
      <c r="M374" s="87">
        <v>0</v>
      </c>
      <c r="N374" s="87">
        <v>0</v>
      </c>
      <c r="O374" s="87">
        <f t="shared" ref="O374:O376" si="178">P374+Q374</f>
        <v>0</v>
      </c>
      <c r="P374" s="87">
        <v>0</v>
      </c>
      <c r="Q374" s="87">
        <v>0</v>
      </c>
      <c r="R374" s="87">
        <f t="shared" si="177"/>
        <v>0</v>
      </c>
      <c r="S374" s="87">
        <v>0</v>
      </c>
      <c r="T374" s="87">
        <v>0</v>
      </c>
      <c r="U374" s="87">
        <f t="shared" ref="U374:U376" si="179">V374+W374</f>
        <v>0</v>
      </c>
      <c r="V374" s="87">
        <v>0</v>
      </c>
      <c r="W374" s="87">
        <v>0</v>
      </c>
    </row>
    <row r="375" spans="1:23">
      <c r="A375" s="445"/>
      <c r="B375" s="445"/>
      <c r="C375" s="453"/>
      <c r="D375" s="226" t="s">
        <v>393</v>
      </c>
      <c r="E375" s="226" t="s">
        <v>98</v>
      </c>
      <c r="F375" s="226" t="s">
        <v>98</v>
      </c>
      <c r="G375" s="226" t="s">
        <v>1132</v>
      </c>
      <c r="H375" s="250">
        <v>120</v>
      </c>
      <c r="I375" s="453"/>
      <c r="J375" s="413"/>
      <c r="K375" s="424"/>
      <c r="L375" s="87">
        <f>4750.7+1412.8</f>
        <v>6163.5</v>
      </c>
      <c r="M375" s="87">
        <f>5094.1+1523.4</f>
        <v>6617.5</v>
      </c>
      <c r="N375" s="87">
        <f>3470.7+945.7</f>
        <v>4416.3999999999996</v>
      </c>
      <c r="O375" s="87">
        <f t="shared" si="178"/>
        <v>7158.9</v>
      </c>
      <c r="P375" s="87">
        <v>7158.9</v>
      </c>
      <c r="Q375" s="87">
        <v>0</v>
      </c>
      <c r="R375" s="87">
        <f t="shared" si="177"/>
        <v>7092.5</v>
      </c>
      <c r="S375" s="87">
        <v>7092.5</v>
      </c>
      <c r="T375" s="87">
        <v>0</v>
      </c>
      <c r="U375" s="87">
        <f t="shared" si="179"/>
        <v>7164</v>
      </c>
      <c r="V375" s="87">
        <v>7164</v>
      </c>
      <c r="W375" s="87">
        <v>0</v>
      </c>
    </row>
    <row r="376" spans="1:23">
      <c r="A376" s="445"/>
      <c r="B376" s="445"/>
      <c r="C376" s="453"/>
      <c r="D376" s="226" t="s">
        <v>349</v>
      </c>
      <c r="E376" s="226" t="s">
        <v>98</v>
      </c>
      <c r="F376" s="226" t="s">
        <v>98</v>
      </c>
      <c r="G376" s="226" t="s">
        <v>1133</v>
      </c>
      <c r="H376" s="250">
        <v>120</v>
      </c>
      <c r="I376" s="453"/>
      <c r="J376" s="440"/>
      <c r="K376" s="424"/>
      <c r="L376" s="87">
        <v>3708.7</v>
      </c>
      <c r="M376" s="87">
        <v>3910.6</v>
      </c>
      <c r="N376" s="87">
        <v>2424.8000000000002</v>
      </c>
      <c r="O376" s="87">
        <f t="shared" si="178"/>
        <v>4237.2</v>
      </c>
      <c r="P376" s="87">
        <v>4237.2</v>
      </c>
      <c r="Q376" s="87">
        <v>0</v>
      </c>
      <c r="R376" s="87">
        <f t="shared" si="177"/>
        <v>4197.8</v>
      </c>
      <c r="S376" s="87">
        <v>4197.8</v>
      </c>
      <c r="T376" s="87">
        <v>0</v>
      </c>
      <c r="U376" s="87">
        <f t="shared" si="179"/>
        <v>4240.3</v>
      </c>
      <c r="V376" s="87">
        <v>4240.3</v>
      </c>
      <c r="W376" s="87">
        <v>0</v>
      </c>
    </row>
    <row r="377" spans="1:23" ht="56.25">
      <c r="A377" s="161" t="s">
        <v>11</v>
      </c>
      <c r="B377" s="205" t="s">
        <v>69</v>
      </c>
      <c r="C377" s="136"/>
      <c r="D377" s="148"/>
      <c r="E377" s="257"/>
      <c r="F377" s="257"/>
      <c r="G377" s="257"/>
      <c r="H377" s="257">
        <v>200</v>
      </c>
      <c r="I377" s="453"/>
      <c r="J377" s="451"/>
      <c r="K377" s="55"/>
      <c r="L377" s="159">
        <f>L378+L379+L380</f>
        <v>1445.9</v>
      </c>
      <c r="M377" s="159">
        <f t="shared" ref="M377:W377" si="180">M378+M379+M380</f>
        <v>1708.8</v>
      </c>
      <c r="N377" s="159">
        <f t="shared" si="180"/>
        <v>1000.8</v>
      </c>
      <c r="O377" s="159">
        <f t="shared" si="180"/>
        <v>1540.5</v>
      </c>
      <c r="P377" s="159">
        <f t="shared" si="180"/>
        <v>1540.5</v>
      </c>
      <c r="Q377" s="159">
        <f t="shared" si="180"/>
        <v>0</v>
      </c>
      <c r="R377" s="159">
        <f t="shared" si="180"/>
        <v>1526.5</v>
      </c>
      <c r="S377" s="159">
        <f t="shared" si="180"/>
        <v>1526.5</v>
      </c>
      <c r="T377" s="159">
        <f t="shared" si="180"/>
        <v>0</v>
      </c>
      <c r="U377" s="159">
        <f t="shared" si="180"/>
        <v>1541.3000000000002</v>
      </c>
      <c r="V377" s="159">
        <f t="shared" si="180"/>
        <v>1541.3000000000002</v>
      </c>
      <c r="W377" s="159">
        <f t="shared" si="180"/>
        <v>0</v>
      </c>
    </row>
    <row r="378" spans="1:23" ht="93.75">
      <c r="A378" s="225" t="s">
        <v>1134</v>
      </c>
      <c r="B378" s="229" t="s">
        <v>379</v>
      </c>
      <c r="C378" s="449" t="s">
        <v>1130</v>
      </c>
      <c r="D378" s="226" t="s">
        <v>349</v>
      </c>
      <c r="E378" s="226" t="s">
        <v>98</v>
      </c>
      <c r="F378" s="226" t="s">
        <v>98</v>
      </c>
      <c r="G378" s="226" t="s">
        <v>1131</v>
      </c>
      <c r="H378" s="226" t="s">
        <v>142</v>
      </c>
      <c r="I378" s="453"/>
      <c r="J378" s="451"/>
      <c r="K378" s="125"/>
      <c r="L378" s="162">
        <v>860</v>
      </c>
      <c r="M378" s="87">
        <f>310.2+468.3</f>
        <v>778.5</v>
      </c>
      <c r="N378" s="87">
        <f>250.5+107.5</f>
        <v>358</v>
      </c>
      <c r="O378" s="87">
        <f>P378+Q378</f>
        <v>683.7</v>
      </c>
      <c r="P378" s="87">
        <v>683.7</v>
      </c>
      <c r="Q378" s="87">
        <v>0</v>
      </c>
      <c r="R378" s="87">
        <f t="shared" ref="R378:R380" si="181">S378+T378</f>
        <v>677.5</v>
      </c>
      <c r="S378" s="87">
        <v>677.5</v>
      </c>
      <c r="T378" s="87">
        <v>0</v>
      </c>
      <c r="U378" s="87">
        <f t="shared" ref="U378:U380" si="182">V378+W378</f>
        <v>684</v>
      </c>
      <c r="V378" s="87">
        <v>684</v>
      </c>
      <c r="W378" s="87">
        <v>0</v>
      </c>
    </row>
    <row r="379" spans="1:23">
      <c r="A379" s="403" t="s">
        <v>210</v>
      </c>
      <c r="B379" s="440" t="s">
        <v>1135</v>
      </c>
      <c r="C379" s="449"/>
      <c r="D379" s="447" t="s">
        <v>393</v>
      </c>
      <c r="E379" s="226" t="s">
        <v>98</v>
      </c>
      <c r="F379" s="226" t="s">
        <v>98</v>
      </c>
      <c r="G379" s="226" t="s">
        <v>1143</v>
      </c>
      <c r="H379" s="226" t="s">
        <v>142</v>
      </c>
      <c r="I379" s="453"/>
      <c r="J379" s="451"/>
      <c r="K379" s="125"/>
      <c r="L379" s="162">
        <v>0</v>
      </c>
      <c r="M379" s="87">
        <v>283.60000000000002</v>
      </c>
      <c r="N379" s="87">
        <v>187.1</v>
      </c>
      <c r="O379" s="87">
        <f>P379+Q379</f>
        <v>267</v>
      </c>
      <c r="P379" s="87">
        <v>267</v>
      </c>
      <c r="Q379" s="87">
        <v>0</v>
      </c>
      <c r="R379" s="87">
        <f t="shared" si="181"/>
        <v>264.5</v>
      </c>
      <c r="S379" s="87">
        <v>264.5</v>
      </c>
      <c r="T379" s="87">
        <v>0</v>
      </c>
      <c r="U379" s="87">
        <f t="shared" si="182"/>
        <v>267.2</v>
      </c>
      <c r="V379" s="87">
        <v>267.2</v>
      </c>
      <c r="W379" s="87">
        <v>0</v>
      </c>
    </row>
    <row r="380" spans="1:23">
      <c r="A380" s="445"/>
      <c r="B380" s="441"/>
      <c r="C380" s="449"/>
      <c r="D380" s="448"/>
      <c r="E380" s="226" t="s">
        <v>98</v>
      </c>
      <c r="F380" s="226" t="s">
        <v>98</v>
      </c>
      <c r="G380" s="226" t="s">
        <v>1132</v>
      </c>
      <c r="H380" s="250">
        <v>200</v>
      </c>
      <c r="I380" s="453"/>
      <c r="J380" s="451"/>
      <c r="K380" s="168"/>
      <c r="L380" s="162">
        <v>585.9</v>
      </c>
      <c r="M380" s="87">
        <f>160+486.7</f>
        <v>646.70000000000005</v>
      </c>
      <c r="N380" s="87">
        <f>116.7+339</f>
        <v>455.7</v>
      </c>
      <c r="O380" s="87">
        <f>P380+Q380</f>
        <v>589.79999999999995</v>
      </c>
      <c r="P380" s="87">
        <v>589.79999999999995</v>
      </c>
      <c r="Q380" s="87">
        <v>0</v>
      </c>
      <c r="R380" s="87">
        <f t="shared" si="181"/>
        <v>584.5</v>
      </c>
      <c r="S380" s="87">
        <v>584.5</v>
      </c>
      <c r="T380" s="87">
        <v>0</v>
      </c>
      <c r="U380" s="87">
        <f t="shared" si="182"/>
        <v>590.1</v>
      </c>
      <c r="V380" s="87">
        <v>590.1</v>
      </c>
      <c r="W380" s="87">
        <v>0</v>
      </c>
    </row>
    <row r="381" spans="1:23">
      <c r="A381" s="161" t="s">
        <v>20</v>
      </c>
      <c r="B381" s="205" t="s">
        <v>31</v>
      </c>
      <c r="C381" s="136"/>
      <c r="D381" s="163"/>
      <c r="E381" s="148"/>
      <c r="F381" s="148"/>
      <c r="G381" s="148"/>
      <c r="H381" s="257">
        <v>800</v>
      </c>
      <c r="I381" s="453"/>
      <c r="J381" s="451"/>
      <c r="K381" s="22"/>
      <c r="L381" s="159">
        <f t="shared" ref="L381:W381" si="183">L382</f>
        <v>1554.6</v>
      </c>
      <c r="M381" s="159">
        <f t="shared" si="183"/>
        <v>0</v>
      </c>
      <c r="N381" s="159">
        <f t="shared" si="183"/>
        <v>0</v>
      </c>
      <c r="O381" s="159">
        <f t="shared" si="183"/>
        <v>0</v>
      </c>
      <c r="P381" s="159">
        <f t="shared" si="183"/>
        <v>0</v>
      </c>
      <c r="Q381" s="159">
        <f t="shared" si="183"/>
        <v>0</v>
      </c>
      <c r="R381" s="159">
        <f t="shared" si="183"/>
        <v>0</v>
      </c>
      <c r="S381" s="159">
        <f t="shared" si="183"/>
        <v>0</v>
      </c>
      <c r="T381" s="159">
        <f t="shared" si="183"/>
        <v>0</v>
      </c>
      <c r="U381" s="159">
        <f t="shared" si="183"/>
        <v>0</v>
      </c>
      <c r="V381" s="159">
        <f t="shared" si="183"/>
        <v>0</v>
      </c>
      <c r="W381" s="159">
        <f t="shared" si="183"/>
        <v>0</v>
      </c>
    </row>
    <row r="382" spans="1:23" ht="206.25">
      <c r="A382" s="225" t="s">
        <v>1136</v>
      </c>
      <c r="B382" s="229" t="s">
        <v>1146</v>
      </c>
      <c r="C382" s="125" t="s">
        <v>1283</v>
      </c>
      <c r="D382" s="226" t="s">
        <v>1147</v>
      </c>
      <c r="E382" s="226" t="s">
        <v>98</v>
      </c>
      <c r="F382" s="226" t="s">
        <v>98</v>
      </c>
      <c r="G382" s="226" t="s">
        <v>94</v>
      </c>
      <c r="H382" s="250">
        <v>800</v>
      </c>
      <c r="I382" s="453"/>
      <c r="J382" s="451"/>
      <c r="K382" s="164"/>
      <c r="L382" s="87">
        <v>1554.6</v>
      </c>
      <c r="M382" s="87">
        <v>0</v>
      </c>
      <c r="N382" s="87">
        <v>0</v>
      </c>
      <c r="O382" s="87">
        <f>P382+Q382</f>
        <v>0</v>
      </c>
      <c r="P382" s="87">
        <v>0</v>
      </c>
      <c r="Q382" s="87">
        <v>0</v>
      </c>
      <c r="R382" s="87">
        <f>S382+T382</f>
        <v>0</v>
      </c>
      <c r="S382" s="87">
        <v>0</v>
      </c>
      <c r="T382" s="87">
        <v>0</v>
      </c>
      <c r="U382" s="87">
        <f>V382+W382</f>
        <v>0</v>
      </c>
      <c r="V382" s="87">
        <v>0</v>
      </c>
      <c r="W382" s="87">
        <v>0</v>
      </c>
    </row>
    <row r="383" spans="1:23">
      <c r="A383" s="416" t="s">
        <v>73</v>
      </c>
      <c r="B383" s="416"/>
      <c r="C383" s="416"/>
      <c r="D383" s="416"/>
      <c r="E383" s="416"/>
      <c r="F383" s="416"/>
      <c r="G383" s="416"/>
      <c r="H383" s="416"/>
      <c r="I383" s="416"/>
      <c r="J383" s="416"/>
      <c r="K383" s="416"/>
      <c r="L383" s="159">
        <f>L384</f>
        <v>12028.399999999998</v>
      </c>
      <c r="M383" s="159">
        <f t="shared" ref="M383:N383" si="184">M384</f>
        <v>14341.499999999998</v>
      </c>
      <c r="N383" s="159">
        <f t="shared" si="184"/>
        <v>7193.4000000000005</v>
      </c>
      <c r="O383" s="159">
        <f>O384</f>
        <v>16966.899999999998</v>
      </c>
      <c r="P383" s="159">
        <f t="shared" ref="P383:W383" si="185">P384</f>
        <v>16966.899999999998</v>
      </c>
      <c r="Q383" s="159">
        <f t="shared" si="185"/>
        <v>0</v>
      </c>
      <c r="R383" s="159">
        <f t="shared" si="185"/>
        <v>30049.599999999999</v>
      </c>
      <c r="S383" s="159">
        <f t="shared" si="185"/>
        <v>30049.599999999999</v>
      </c>
      <c r="T383" s="159">
        <f t="shared" si="185"/>
        <v>0</v>
      </c>
      <c r="U383" s="159">
        <f t="shared" si="185"/>
        <v>24628.5</v>
      </c>
      <c r="V383" s="159">
        <f t="shared" si="185"/>
        <v>24628.5</v>
      </c>
      <c r="W383" s="158">
        <f t="shared" si="185"/>
        <v>0</v>
      </c>
    </row>
    <row r="384" spans="1:23" ht="37.5">
      <c r="A384" s="225" t="s">
        <v>21</v>
      </c>
      <c r="B384" s="229" t="s">
        <v>89</v>
      </c>
      <c r="C384" s="173"/>
      <c r="D384" s="226"/>
      <c r="E384" s="250"/>
      <c r="F384" s="250"/>
      <c r="G384" s="250"/>
      <c r="H384" s="250">
        <v>200</v>
      </c>
      <c r="I384" s="446" t="s">
        <v>1284</v>
      </c>
      <c r="J384" s="413" t="s">
        <v>1285</v>
      </c>
      <c r="K384" s="125"/>
      <c r="L384" s="159">
        <f>SUM(L385:L394)</f>
        <v>12028.399999999998</v>
      </c>
      <c r="M384" s="159">
        <f>SUM(M385:M394)</f>
        <v>14341.499999999998</v>
      </c>
      <c r="N384" s="159">
        <f t="shared" ref="N384:W384" si="186">SUM(N385:N394)</f>
        <v>7193.4000000000005</v>
      </c>
      <c r="O384" s="159">
        <f t="shared" si="186"/>
        <v>16966.899999999998</v>
      </c>
      <c r="P384" s="159">
        <f t="shared" si="186"/>
        <v>16966.899999999998</v>
      </c>
      <c r="Q384" s="159">
        <f t="shared" si="186"/>
        <v>0</v>
      </c>
      <c r="R384" s="159">
        <f t="shared" si="186"/>
        <v>30049.599999999999</v>
      </c>
      <c r="S384" s="159">
        <f t="shared" si="186"/>
        <v>30049.599999999999</v>
      </c>
      <c r="T384" s="159">
        <f t="shared" si="186"/>
        <v>0</v>
      </c>
      <c r="U384" s="159">
        <f t="shared" si="186"/>
        <v>24628.5</v>
      </c>
      <c r="V384" s="159">
        <f t="shared" si="186"/>
        <v>24628.5</v>
      </c>
      <c r="W384" s="159">
        <f t="shared" si="186"/>
        <v>0</v>
      </c>
    </row>
    <row r="385" spans="1:23" ht="37.5">
      <c r="A385" s="403" t="s">
        <v>436</v>
      </c>
      <c r="B385" s="440" t="s">
        <v>1144</v>
      </c>
      <c r="C385" s="435"/>
      <c r="D385" s="447" t="s">
        <v>358</v>
      </c>
      <c r="E385" s="226" t="s">
        <v>98</v>
      </c>
      <c r="F385" s="226" t="s">
        <v>92</v>
      </c>
      <c r="G385" s="226" t="s">
        <v>1137</v>
      </c>
      <c r="H385" s="250">
        <v>200</v>
      </c>
      <c r="I385" s="439"/>
      <c r="J385" s="413"/>
      <c r="K385" s="168"/>
      <c r="L385" s="87">
        <f>1050.1+161.9</f>
        <v>1212</v>
      </c>
      <c r="M385" s="87">
        <v>3117.2</v>
      </c>
      <c r="N385" s="87">
        <v>1089.8</v>
      </c>
      <c r="O385" s="87">
        <f>P385+Q385</f>
        <v>3066.3</v>
      </c>
      <c r="P385" s="87">
        <v>3066.3</v>
      </c>
      <c r="Q385" s="87">
        <v>0</v>
      </c>
      <c r="R385" s="87">
        <f t="shared" ref="R385:R394" si="187">S385+T385</f>
        <v>3037.9</v>
      </c>
      <c r="S385" s="87">
        <v>3037.9</v>
      </c>
      <c r="T385" s="87">
        <v>0</v>
      </c>
      <c r="U385" s="87">
        <f t="shared" ref="U385:U394" si="188">V385+W385</f>
        <v>3068.5</v>
      </c>
      <c r="V385" s="87">
        <v>3068.5</v>
      </c>
      <c r="W385" s="87">
        <v>0</v>
      </c>
    </row>
    <row r="386" spans="1:23">
      <c r="A386" s="403"/>
      <c r="B386" s="440"/>
      <c r="C386" s="435"/>
      <c r="D386" s="447"/>
      <c r="E386" s="226" t="s">
        <v>98</v>
      </c>
      <c r="F386" s="226" t="s">
        <v>92</v>
      </c>
      <c r="G386" s="226" t="s">
        <v>1138</v>
      </c>
      <c r="H386" s="250">
        <v>200</v>
      </c>
      <c r="I386" s="439"/>
      <c r="J386" s="413"/>
      <c r="K386" s="168"/>
      <c r="L386" s="87">
        <v>5.9</v>
      </c>
      <c r="M386" s="87">
        <v>143.19999999999999</v>
      </c>
      <c r="N386" s="87">
        <v>4</v>
      </c>
      <c r="O386" s="87">
        <f t="shared" ref="O386:O394" si="189">P386+Q386</f>
        <v>132.30000000000001</v>
      </c>
      <c r="P386" s="87">
        <v>132.30000000000001</v>
      </c>
      <c r="Q386" s="87">
        <v>0</v>
      </c>
      <c r="R386" s="87">
        <f t="shared" si="187"/>
        <v>131.1</v>
      </c>
      <c r="S386" s="87">
        <v>131.1</v>
      </c>
      <c r="T386" s="87">
        <v>0</v>
      </c>
      <c r="U386" s="87">
        <f t="shared" si="188"/>
        <v>132.4</v>
      </c>
      <c r="V386" s="87">
        <v>132.4</v>
      </c>
      <c r="W386" s="87">
        <v>0</v>
      </c>
    </row>
    <row r="387" spans="1:23">
      <c r="A387" s="403"/>
      <c r="B387" s="440"/>
      <c r="C387" s="435"/>
      <c r="D387" s="447"/>
      <c r="E387" s="226" t="s">
        <v>98</v>
      </c>
      <c r="F387" s="226" t="s">
        <v>92</v>
      </c>
      <c r="G387" s="226" t="s">
        <v>1286</v>
      </c>
      <c r="H387" s="250">
        <v>200</v>
      </c>
      <c r="I387" s="439"/>
      <c r="J387" s="440"/>
      <c r="K387" s="168"/>
      <c r="L387" s="87">
        <v>0</v>
      </c>
      <c r="M387" s="87">
        <v>350</v>
      </c>
      <c r="N387" s="87">
        <v>205</v>
      </c>
      <c r="O387" s="87">
        <f t="shared" si="189"/>
        <v>473.7</v>
      </c>
      <c r="P387" s="87">
        <v>473.7</v>
      </c>
      <c r="Q387" s="87">
        <v>0</v>
      </c>
      <c r="R387" s="87">
        <f t="shared" si="187"/>
        <v>469.3</v>
      </c>
      <c r="S387" s="87">
        <v>469.3</v>
      </c>
      <c r="T387" s="87">
        <v>0</v>
      </c>
      <c r="U387" s="87">
        <f t="shared" si="188"/>
        <v>474</v>
      </c>
      <c r="V387" s="87">
        <v>474</v>
      </c>
      <c r="W387" s="87">
        <v>0</v>
      </c>
    </row>
    <row r="388" spans="1:23">
      <c r="A388" s="403"/>
      <c r="B388" s="440"/>
      <c r="C388" s="435"/>
      <c r="D388" s="447"/>
      <c r="E388" s="226" t="s">
        <v>98</v>
      </c>
      <c r="F388" s="226" t="s">
        <v>92</v>
      </c>
      <c r="G388" s="226" t="s">
        <v>487</v>
      </c>
      <c r="H388" s="250">
        <v>200</v>
      </c>
      <c r="I388" s="439"/>
      <c r="J388" s="451"/>
      <c r="K388" s="168"/>
      <c r="L388" s="87">
        <v>6861.6</v>
      </c>
      <c r="M388" s="87">
        <v>7841</v>
      </c>
      <c r="N388" s="87">
        <v>5164.3999999999996</v>
      </c>
      <c r="O388" s="87">
        <f t="shared" si="189"/>
        <v>9016.7999999999993</v>
      </c>
      <c r="P388" s="87">
        <v>9016.7999999999993</v>
      </c>
      <c r="Q388" s="87">
        <v>0</v>
      </c>
      <c r="R388" s="87">
        <f t="shared" si="187"/>
        <v>8951.7999999999993</v>
      </c>
      <c r="S388" s="87">
        <v>8951.7999999999993</v>
      </c>
      <c r="T388" s="87">
        <v>0</v>
      </c>
      <c r="U388" s="87">
        <f t="shared" si="188"/>
        <v>9021.9</v>
      </c>
      <c r="V388" s="87">
        <v>9021.9</v>
      </c>
      <c r="W388" s="87">
        <v>0</v>
      </c>
    </row>
    <row r="389" spans="1:23">
      <c r="A389" s="403"/>
      <c r="B389" s="440"/>
      <c r="C389" s="435"/>
      <c r="D389" s="447"/>
      <c r="E389" s="226" t="s">
        <v>98</v>
      </c>
      <c r="F389" s="226" t="s">
        <v>92</v>
      </c>
      <c r="G389" s="226" t="s">
        <v>1139</v>
      </c>
      <c r="H389" s="250">
        <v>200</v>
      </c>
      <c r="I389" s="439"/>
      <c r="J389" s="451"/>
      <c r="K389" s="168"/>
      <c r="L389" s="87">
        <f>437.6+1750.2</f>
        <v>2187.8000000000002</v>
      </c>
      <c r="M389" s="87">
        <v>0</v>
      </c>
      <c r="N389" s="87">
        <v>0</v>
      </c>
      <c r="O389" s="87">
        <f t="shared" si="189"/>
        <v>0</v>
      </c>
      <c r="P389" s="87">
        <v>0</v>
      </c>
      <c r="Q389" s="87">
        <v>0</v>
      </c>
      <c r="R389" s="87">
        <f t="shared" si="187"/>
        <v>16666</v>
      </c>
      <c r="S389" s="87">
        <v>16666</v>
      </c>
      <c r="T389" s="87">
        <v>0</v>
      </c>
      <c r="U389" s="87">
        <f t="shared" si="188"/>
        <v>11130.2</v>
      </c>
      <c r="V389" s="87">
        <v>11130.2</v>
      </c>
      <c r="W389" s="87">
        <v>0</v>
      </c>
    </row>
    <row r="390" spans="1:23">
      <c r="A390" s="445"/>
      <c r="B390" s="441"/>
      <c r="C390" s="437"/>
      <c r="D390" s="448"/>
      <c r="E390" s="226" t="s">
        <v>98</v>
      </c>
      <c r="F390" s="226" t="s">
        <v>92</v>
      </c>
      <c r="G390" s="226" t="s">
        <v>1145</v>
      </c>
      <c r="H390" s="250">
        <v>200</v>
      </c>
      <c r="I390" s="439"/>
      <c r="J390" s="451"/>
      <c r="K390" s="168"/>
      <c r="L390" s="87">
        <v>342.8</v>
      </c>
      <c r="M390" s="87">
        <v>1640.8</v>
      </c>
      <c r="N390" s="87">
        <v>27.6</v>
      </c>
      <c r="O390" s="87">
        <f>P390+Q390</f>
        <v>3476.9</v>
      </c>
      <c r="P390" s="87">
        <v>3476.9</v>
      </c>
      <c r="Q390" s="87">
        <v>0</v>
      </c>
      <c r="R390" s="87">
        <f t="shared" si="187"/>
        <v>0</v>
      </c>
      <c r="S390" s="87">
        <v>0</v>
      </c>
      <c r="T390" s="87">
        <v>0</v>
      </c>
      <c r="U390" s="87">
        <f t="shared" si="188"/>
        <v>0</v>
      </c>
      <c r="V390" s="87">
        <v>0</v>
      </c>
      <c r="W390" s="87">
        <v>0</v>
      </c>
    </row>
    <row r="391" spans="1:23" ht="112.5">
      <c r="A391" s="225" t="s">
        <v>471</v>
      </c>
      <c r="B391" s="229" t="s">
        <v>1140</v>
      </c>
      <c r="C391" s="173"/>
      <c r="D391" s="226" t="s">
        <v>1141</v>
      </c>
      <c r="E391" s="226" t="s">
        <v>98</v>
      </c>
      <c r="F391" s="226" t="s">
        <v>143</v>
      </c>
      <c r="G391" s="226" t="s">
        <v>1142</v>
      </c>
      <c r="H391" s="250">
        <v>200</v>
      </c>
      <c r="I391" s="439"/>
      <c r="J391" s="451"/>
      <c r="K391" s="168"/>
      <c r="L391" s="87">
        <v>732</v>
      </c>
      <c r="M391" s="87">
        <v>912</v>
      </c>
      <c r="N391" s="87">
        <v>578</v>
      </c>
      <c r="O391" s="87">
        <f t="shared" si="189"/>
        <v>800.9</v>
      </c>
      <c r="P391" s="87">
        <v>800.9</v>
      </c>
      <c r="Q391" s="87">
        <v>0</v>
      </c>
      <c r="R391" s="87">
        <f t="shared" si="187"/>
        <v>793.5</v>
      </c>
      <c r="S391" s="87">
        <v>793.5</v>
      </c>
      <c r="T391" s="87">
        <v>0</v>
      </c>
      <c r="U391" s="87">
        <f t="shared" si="188"/>
        <v>801.5</v>
      </c>
      <c r="V391" s="87">
        <v>801.5</v>
      </c>
      <c r="W391" s="87">
        <v>0</v>
      </c>
    </row>
    <row r="392" spans="1:23" ht="75">
      <c r="A392" s="222" t="s">
        <v>488</v>
      </c>
      <c r="B392" s="224" t="s">
        <v>1135</v>
      </c>
      <c r="C392" s="173"/>
      <c r="D392" s="226" t="s">
        <v>393</v>
      </c>
      <c r="E392" s="226" t="s">
        <v>98</v>
      </c>
      <c r="F392" s="226" t="s">
        <v>98</v>
      </c>
      <c r="G392" s="226" t="s">
        <v>1143</v>
      </c>
      <c r="H392" s="250">
        <v>200</v>
      </c>
      <c r="I392" s="439"/>
      <c r="J392" s="451"/>
      <c r="K392" s="168"/>
      <c r="L392" s="87">
        <v>270</v>
      </c>
      <c r="M392" s="87">
        <v>0</v>
      </c>
      <c r="N392" s="87">
        <v>0</v>
      </c>
      <c r="O392" s="87">
        <f t="shared" si="189"/>
        <v>0</v>
      </c>
      <c r="P392" s="87">
        <v>0</v>
      </c>
      <c r="Q392" s="87">
        <v>0</v>
      </c>
      <c r="R392" s="87">
        <f t="shared" si="187"/>
        <v>0</v>
      </c>
      <c r="S392" s="87">
        <v>0</v>
      </c>
      <c r="T392" s="87">
        <v>0</v>
      </c>
      <c r="U392" s="87">
        <f t="shared" si="188"/>
        <v>0</v>
      </c>
      <c r="V392" s="87">
        <v>0</v>
      </c>
      <c r="W392" s="87">
        <v>0</v>
      </c>
    </row>
    <row r="393" spans="1:23" ht="37.5">
      <c r="A393" s="225" t="s">
        <v>489</v>
      </c>
      <c r="B393" s="614" t="s">
        <v>1146</v>
      </c>
      <c r="C393" s="173"/>
      <c r="D393" s="226" t="s">
        <v>1147</v>
      </c>
      <c r="E393" s="650" t="s">
        <v>92</v>
      </c>
      <c r="F393" s="650" t="s">
        <v>83</v>
      </c>
      <c r="G393" s="650" t="s">
        <v>94</v>
      </c>
      <c r="H393" s="165">
        <v>200</v>
      </c>
      <c r="I393" s="439"/>
      <c r="J393" s="451"/>
      <c r="K393" s="168"/>
      <c r="L393" s="87">
        <v>416.3</v>
      </c>
      <c r="M393" s="87">
        <v>330.3</v>
      </c>
      <c r="N393" s="87">
        <v>120.6</v>
      </c>
      <c r="O393" s="87">
        <f t="shared" si="189"/>
        <v>0</v>
      </c>
      <c r="P393" s="87">
        <v>0</v>
      </c>
      <c r="Q393" s="87">
        <v>0</v>
      </c>
      <c r="R393" s="87">
        <f t="shared" si="187"/>
        <v>0</v>
      </c>
      <c r="S393" s="87">
        <v>0</v>
      </c>
      <c r="T393" s="87">
        <v>0</v>
      </c>
      <c r="U393" s="87">
        <f t="shared" si="188"/>
        <v>0</v>
      </c>
      <c r="V393" s="87">
        <v>0</v>
      </c>
      <c r="W393" s="87">
        <v>0</v>
      </c>
    </row>
    <row r="394" spans="1:23" ht="93.75">
      <c r="A394" s="225" t="s">
        <v>491</v>
      </c>
      <c r="B394" s="614" t="s">
        <v>1287</v>
      </c>
      <c r="C394" s="173"/>
      <c r="D394" s="226" t="s">
        <v>1054</v>
      </c>
      <c r="E394" s="650" t="s">
        <v>98</v>
      </c>
      <c r="F394" s="650" t="s">
        <v>98</v>
      </c>
      <c r="G394" s="650" t="s">
        <v>862</v>
      </c>
      <c r="H394" s="165">
        <v>200</v>
      </c>
      <c r="I394" s="439"/>
      <c r="J394" s="452"/>
      <c r="K394" s="168"/>
      <c r="L394" s="87">
        <v>0</v>
      </c>
      <c r="M394" s="87">
        <v>7</v>
      </c>
      <c r="N394" s="87">
        <v>4</v>
      </c>
      <c r="O394" s="87">
        <f t="shared" si="189"/>
        <v>0</v>
      </c>
      <c r="P394" s="87">
        <v>0</v>
      </c>
      <c r="Q394" s="87">
        <v>0</v>
      </c>
      <c r="R394" s="87">
        <f t="shared" si="187"/>
        <v>0</v>
      </c>
      <c r="S394" s="87">
        <v>0</v>
      </c>
      <c r="T394" s="87">
        <v>0</v>
      </c>
      <c r="U394" s="87">
        <f t="shared" si="188"/>
        <v>0</v>
      </c>
      <c r="V394" s="87">
        <v>0</v>
      </c>
      <c r="W394" s="87">
        <v>0</v>
      </c>
    </row>
    <row r="395" spans="1:23">
      <c r="A395" s="416" t="s">
        <v>75</v>
      </c>
      <c r="B395" s="416"/>
      <c r="C395" s="416"/>
      <c r="D395" s="416"/>
      <c r="E395" s="416"/>
      <c r="F395" s="416"/>
      <c r="G395" s="416"/>
      <c r="H395" s="416"/>
      <c r="I395" s="416"/>
      <c r="J395" s="416"/>
      <c r="K395" s="416"/>
      <c r="L395" s="166">
        <f>L396</f>
        <v>370656.1</v>
      </c>
      <c r="M395" s="166">
        <f t="shared" ref="M395:W395" si="190">M396</f>
        <v>619812.5</v>
      </c>
      <c r="N395" s="166">
        <f t="shared" si="190"/>
        <v>290224.5</v>
      </c>
      <c r="O395" s="166">
        <f t="shared" si="190"/>
        <v>420730.79999999993</v>
      </c>
      <c r="P395" s="166">
        <f t="shared" si="190"/>
        <v>420730.79999999993</v>
      </c>
      <c r="Q395" s="166">
        <f t="shared" si="190"/>
        <v>0</v>
      </c>
      <c r="R395" s="166">
        <f t="shared" si="190"/>
        <v>383219.1</v>
      </c>
      <c r="S395" s="166">
        <f t="shared" si="190"/>
        <v>383219.1</v>
      </c>
      <c r="T395" s="166">
        <f t="shared" si="190"/>
        <v>0</v>
      </c>
      <c r="U395" s="166">
        <f t="shared" si="190"/>
        <v>386564</v>
      </c>
      <c r="V395" s="166">
        <f t="shared" si="190"/>
        <v>386564</v>
      </c>
      <c r="W395" s="166">
        <f t="shared" si="190"/>
        <v>0</v>
      </c>
    </row>
    <row r="396" spans="1:23">
      <c r="A396" s="416" t="s">
        <v>36</v>
      </c>
      <c r="B396" s="416"/>
      <c r="C396" s="416"/>
      <c r="D396" s="416"/>
      <c r="E396" s="416"/>
      <c r="F396" s="416"/>
      <c r="G396" s="416"/>
      <c r="H396" s="416"/>
      <c r="I396" s="416"/>
      <c r="J396" s="416"/>
      <c r="K396" s="416"/>
      <c r="L396" s="95">
        <f t="shared" ref="L396:W396" si="191">L397+L417</f>
        <v>370656.1</v>
      </c>
      <c r="M396" s="95">
        <f t="shared" si="191"/>
        <v>619812.5</v>
      </c>
      <c r="N396" s="95">
        <f t="shared" si="191"/>
        <v>290224.5</v>
      </c>
      <c r="O396" s="95">
        <f t="shared" si="191"/>
        <v>420730.79999999993</v>
      </c>
      <c r="P396" s="95">
        <f t="shared" si="191"/>
        <v>420730.79999999993</v>
      </c>
      <c r="Q396" s="95">
        <f t="shared" si="191"/>
        <v>0</v>
      </c>
      <c r="R396" s="95">
        <f t="shared" si="191"/>
        <v>383219.1</v>
      </c>
      <c r="S396" s="95">
        <f t="shared" si="191"/>
        <v>383219.1</v>
      </c>
      <c r="T396" s="95">
        <f t="shared" si="191"/>
        <v>0</v>
      </c>
      <c r="U396" s="95">
        <f t="shared" si="191"/>
        <v>386564</v>
      </c>
      <c r="V396" s="95">
        <f t="shared" si="191"/>
        <v>386564</v>
      </c>
      <c r="W396" s="95">
        <f t="shared" si="191"/>
        <v>0</v>
      </c>
    </row>
    <row r="397" spans="1:23" ht="93.75">
      <c r="A397" s="225" t="s">
        <v>33</v>
      </c>
      <c r="B397" s="229" t="s">
        <v>1288</v>
      </c>
      <c r="C397" s="41"/>
      <c r="D397" s="218"/>
      <c r="E397" s="250"/>
      <c r="F397" s="250"/>
      <c r="G397" s="250"/>
      <c r="H397" s="250">
        <v>600</v>
      </c>
      <c r="I397" s="446" t="s">
        <v>1289</v>
      </c>
      <c r="J397" s="413" t="s">
        <v>1290</v>
      </c>
      <c r="K397" s="218"/>
      <c r="L397" s="95">
        <f>SUM(L398:L416)</f>
        <v>201317.2</v>
      </c>
      <c r="M397" s="95">
        <f>SUM(M398:M416)</f>
        <v>247814.9</v>
      </c>
      <c r="N397" s="95">
        <f t="shared" ref="N397:W397" si="192">SUM(N398:N416)</f>
        <v>114114.00000000001</v>
      </c>
      <c r="O397" s="95">
        <f t="shared" si="192"/>
        <v>239369.19999999998</v>
      </c>
      <c r="P397" s="95">
        <f t="shared" si="192"/>
        <v>239369.19999999998</v>
      </c>
      <c r="Q397" s="95">
        <f t="shared" si="192"/>
        <v>0</v>
      </c>
      <c r="R397" s="95">
        <f t="shared" si="192"/>
        <v>237281.59999999998</v>
      </c>
      <c r="S397" s="95">
        <f t="shared" si="192"/>
        <v>237281.59999999998</v>
      </c>
      <c r="T397" s="95">
        <f t="shared" si="192"/>
        <v>0</v>
      </c>
      <c r="U397" s="95">
        <f t="shared" si="192"/>
        <v>239531.49999999997</v>
      </c>
      <c r="V397" s="95">
        <f t="shared" si="192"/>
        <v>239531.49999999997</v>
      </c>
      <c r="W397" s="95">
        <f t="shared" si="192"/>
        <v>0</v>
      </c>
    </row>
    <row r="398" spans="1:23">
      <c r="A398" s="403" t="s">
        <v>43</v>
      </c>
      <c r="B398" s="413" t="s">
        <v>1148</v>
      </c>
      <c r="C398" s="424" t="s">
        <v>1149</v>
      </c>
      <c r="D398" s="447" t="s">
        <v>394</v>
      </c>
      <c r="E398" s="226" t="s">
        <v>93</v>
      </c>
      <c r="F398" s="226" t="s">
        <v>97</v>
      </c>
      <c r="G398" s="226" t="s">
        <v>185</v>
      </c>
      <c r="H398" s="250">
        <v>600</v>
      </c>
      <c r="I398" s="451"/>
      <c r="J398" s="451"/>
      <c r="K398" s="121"/>
      <c r="L398" s="90">
        <v>5044.8999999999996</v>
      </c>
      <c r="M398" s="87">
        <v>9421</v>
      </c>
      <c r="N398" s="87">
        <v>950</v>
      </c>
      <c r="O398" s="87">
        <f>P398+Q398</f>
        <v>15106.7</v>
      </c>
      <c r="P398" s="87">
        <v>15106.7</v>
      </c>
      <c r="Q398" s="87">
        <v>0</v>
      </c>
      <c r="R398" s="87">
        <f t="shared" ref="R398:R416" si="193">S398+T398</f>
        <v>7940</v>
      </c>
      <c r="S398" s="87">
        <v>7940</v>
      </c>
      <c r="T398" s="87">
        <v>0</v>
      </c>
      <c r="U398" s="87">
        <f t="shared" ref="U398:U415" si="194">V398+W398</f>
        <v>5884</v>
      </c>
      <c r="V398" s="87">
        <v>5884</v>
      </c>
      <c r="W398" s="87">
        <v>0</v>
      </c>
    </row>
    <row r="399" spans="1:23" ht="37.5">
      <c r="A399" s="444"/>
      <c r="B399" s="440"/>
      <c r="C399" s="450"/>
      <c r="D399" s="447"/>
      <c r="E399" s="226" t="s">
        <v>93</v>
      </c>
      <c r="F399" s="226" t="s">
        <v>97</v>
      </c>
      <c r="G399" s="226" t="s">
        <v>1150</v>
      </c>
      <c r="H399" s="250">
        <v>600</v>
      </c>
      <c r="I399" s="451"/>
      <c r="J399" s="451"/>
      <c r="K399" s="121"/>
      <c r="L399" s="90">
        <v>28899.8</v>
      </c>
      <c r="M399" s="87">
        <v>30151</v>
      </c>
      <c r="N399" s="87">
        <v>15750</v>
      </c>
      <c r="O399" s="87">
        <f t="shared" ref="O399:O413" si="195">P399+Q399</f>
        <v>27332.799999999999</v>
      </c>
      <c r="P399" s="87">
        <v>27332.799999999999</v>
      </c>
      <c r="Q399" s="87">
        <v>0</v>
      </c>
      <c r="R399" s="87">
        <f t="shared" si="193"/>
        <v>34120.199999999997</v>
      </c>
      <c r="S399" s="87">
        <v>34120.199999999997</v>
      </c>
      <c r="T399" s="87">
        <v>0</v>
      </c>
      <c r="U399" s="87">
        <f t="shared" si="194"/>
        <v>36585</v>
      </c>
      <c r="V399" s="87">
        <v>36585</v>
      </c>
      <c r="W399" s="87">
        <v>0</v>
      </c>
    </row>
    <row r="400" spans="1:23">
      <c r="A400" s="444"/>
      <c r="B400" s="440"/>
      <c r="C400" s="450"/>
      <c r="D400" s="447"/>
      <c r="E400" s="226" t="s">
        <v>93</v>
      </c>
      <c r="F400" s="226" t="s">
        <v>97</v>
      </c>
      <c r="G400" s="226" t="s">
        <v>1151</v>
      </c>
      <c r="H400" s="250">
        <v>600</v>
      </c>
      <c r="I400" s="451"/>
      <c r="J400" s="451"/>
      <c r="K400" s="121"/>
      <c r="L400" s="90">
        <v>4702.3999999999996</v>
      </c>
      <c r="M400" s="87">
        <v>2291.1999999999998</v>
      </c>
      <c r="N400" s="87">
        <v>1750</v>
      </c>
      <c r="O400" s="87">
        <f t="shared" si="195"/>
        <v>2490.1</v>
      </c>
      <c r="P400" s="87">
        <v>2490.1</v>
      </c>
      <c r="Q400" s="87">
        <v>0</v>
      </c>
      <c r="R400" s="87">
        <f t="shared" si="193"/>
        <v>2425.3000000000002</v>
      </c>
      <c r="S400" s="87">
        <v>2425.3000000000002</v>
      </c>
      <c r="T400" s="87">
        <v>0</v>
      </c>
      <c r="U400" s="87">
        <f t="shared" si="194"/>
        <v>2495.1</v>
      </c>
      <c r="V400" s="87">
        <v>2495.1</v>
      </c>
      <c r="W400" s="87">
        <v>0</v>
      </c>
    </row>
    <row r="401" spans="1:23">
      <c r="A401" s="444"/>
      <c r="B401" s="440"/>
      <c r="C401" s="450"/>
      <c r="D401" s="447"/>
      <c r="E401" s="226" t="s">
        <v>93</v>
      </c>
      <c r="F401" s="226" t="s">
        <v>97</v>
      </c>
      <c r="G401" s="226" t="s">
        <v>1152</v>
      </c>
      <c r="H401" s="250">
        <v>600</v>
      </c>
      <c r="I401" s="451"/>
      <c r="J401" s="451"/>
      <c r="K401" s="121"/>
      <c r="L401" s="90">
        <v>24979.7</v>
      </c>
      <c r="M401" s="87">
        <v>31598.6</v>
      </c>
      <c r="N401" s="87">
        <v>19300</v>
      </c>
      <c r="O401" s="87">
        <f t="shared" si="195"/>
        <v>37103.9</v>
      </c>
      <c r="P401" s="87">
        <v>37103.9</v>
      </c>
      <c r="Q401" s="87">
        <v>0</v>
      </c>
      <c r="R401" s="87">
        <f t="shared" si="193"/>
        <v>36760.199999999997</v>
      </c>
      <c r="S401" s="87">
        <v>36760.199999999997</v>
      </c>
      <c r="T401" s="87">
        <v>0</v>
      </c>
      <c r="U401" s="87">
        <f t="shared" si="194"/>
        <v>37130.6</v>
      </c>
      <c r="V401" s="87">
        <v>37130.6</v>
      </c>
      <c r="W401" s="87">
        <v>0</v>
      </c>
    </row>
    <row r="402" spans="1:23">
      <c r="A402" s="403" t="s">
        <v>76</v>
      </c>
      <c r="B402" s="413" t="s">
        <v>1153</v>
      </c>
      <c r="C402" s="424" t="s">
        <v>120</v>
      </c>
      <c r="D402" s="447" t="s">
        <v>395</v>
      </c>
      <c r="E402" s="226" t="s">
        <v>98</v>
      </c>
      <c r="F402" s="226" t="s">
        <v>95</v>
      </c>
      <c r="G402" s="226" t="s">
        <v>186</v>
      </c>
      <c r="H402" s="250">
        <v>600</v>
      </c>
      <c r="I402" s="451"/>
      <c r="J402" s="451"/>
      <c r="K402" s="121"/>
      <c r="L402" s="90">
        <v>25836.799999999999</v>
      </c>
      <c r="M402" s="87">
        <v>19497.400000000001</v>
      </c>
      <c r="N402" s="87">
        <v>11500</v>
      </c>
      <c r="O402" s="87">
        <f t="shared" si="195"/>
        <v>12019.2</v>
      </c>
      <c r="P402" s="87">
        <v>12019.2</v>
      </c>
      <c r="Q402" s="87">
        <v>0</v>
      </c>
      <c r="R402" s="87">
        <f t="shared" si="193"/>
        <v>11660.4</v>
      </c>
      <c r="S402" s="87">
        <v>11660.4</v>
      </c>
      <c r="T402" s="87">
        <v>0</v>
      </c>
      <c r="U402" s="87">
        <f t="shared" si="194"/>
        <v>12047.1</v>
      </c>
      <c r="V402" s="87">
        <v>12047.1</v>
      </c>
      <c r="W402" s="87">
        <v>0</v>
      </c>
    </row>
    <row r="403" spans="1:23">
      <c r="A403" s="403"/>
      <c r="B403" s="413"/>
      <c r="C403" s="424"/>
      <c r="D403" s="447"/>
      <c r="E403" s="226" t="s">
        <v>98</v>
      </c>
      <c r="F403" s="226" t="s">
        <v>95</v>
      </c>
      <c r="G403" s="226" t="s">
        <v>1167</v>
      </c>
      <c r="H403" s="250">
        <v>600</v>
      </c>
      <c r="I403" s="451"/>
      <c r="J403" s="451"/>
      <c r="K403" s="121"/>
      <c r="L403" s="90">
        <v>0</v>
      </c>
      <c r="M403" s="87">
        <v>7955.3</v>
      </c>
      <c r="N403" s="87">
        <v>0</v>
      </c>
      <c r="O403" s="87">
        <f t="shared" si="195"/>
        <v>26713.3</v>
      </c>
      <c r="P403" s="87">
        <v>26713.3</v>
      </c>
      <c r="Q403" s="87">
        <v>0</v>
      </c>
      <c r="R403" s="87">
        <f t="shared" si="193"/>
        <v>26713.3</v>
      </c>
      <c r="S403" s="87">
        <v>26713.3</v>
      </c>
      <c r="T403" s="87">
        <v>0</v>
      </c>
      <c r="U403" s="87">
        <f t="shared" si="194"/>
        <v>26713.3</v>
      </c>
      <c r="V403" s="87">
        <v>26713.3</v>
      </c>
      <c r="W403" s="87">
        <v>0</v>
      </c>
    </row>
    <row r="404" spans="1:23" ht="93.75">
      <c r="A404" s="223" t="s">
        <v>844</v>
      </c>
      <c r="B404" s="224" t="s">
        <v>1154</v>
      </c>
      <c r="C404" s="121" t="s">
        <v>1155</v>
      </c>
      <c r="D404" s="226" t="s">
        <v>1156</v>
      </c>
      <c r="E404" s="226" t="s">
        <v>98</v>
      </c>
      <c r="F404" s="226" t="s">
        <v>95</v>
      </c>
      <c r="G404" s="226" t="s">
        <v>225</v>
      </c>
      <c r="H404" s="250">
        <v>600</v>
      </c>
      <c r="I404" s="451"/>
      <c r="J404" s="451"/>
      <c r="K404" s="121"/>
      <c r="L404" s="90">
        <v>5501.6</v>
      </c>
      <c r="M404" s="87">
        <v>11562.3</v>
      </c>
      <c r="N404" s="87">
        <v>4434.6000000000004</v>
      </c>
      <c r="O404" s="87">
        <f t="shared" si="195"/>
        <v>12297.3</v>
      </c>
      <c r="P404" s="87">
        <v>12297.3</v>
      </c>
      <c r="Q404" s="87">
        <v>0</v>
      </c>
      <c r="R404" s="87">
        <f t="shared" si="193"/>
        <v>12153.8</v>
      </c>
      <c r="S404" s="87">
        <v>12153.8</v>
      </c>
      <c r="T404" s="87">
        <v>0</v>
      </c>
      <c r="U404" s="87">
        <f t="shared" si="194"/>
        <v>12308.4</v>
      </c>
      <c r="V404" s="87">
        <v>12308.4</v>
      </c>
      <c r="W404" s="87">
        <v>0</v>
      </c>
    </row>
    <row r="405" spans="1:23">
      <c r="A405" s="444" t="s">
        <v>119</v>
      </c>
      <c r="B405" s="440" t="s">
        <v>1153</v>
      </c>
      <c r="C405" s="424" t="s">
        <v>1161</v>
      </c>
      <c r="D405" s="447" t="s">
        <v>395</v>
      </c>
      <c r="E405" s="226" t="s">
        <v>98</v>
      </c>
      <c r="F405" s="226" t="s">
        <v>95</v>
      </c>
      <c r="G405" s="226" t="s">
        <v>126</v>
      </c>
      <c r="H405" s="250">
        <v>600</v>
      </c>
      <c r="I405" s="451"/>
      <c r="J405" s="451"/>
      <c r="K405" s="121"/>
      <c r="L405" s="90">
        <v>4107.6000000000004</v>
      </c>
      <c r="M405" s="87">
        <v>5493.2</v>
      </c>
      <c r="N405" s="87">
        <v>5461.7</v>
      </c>
      <c r="O405" s="87">
        <f t="shared" si="195"/>
        <v>3647.3</v>
      </c>
      <c r="P405" s="87">
        <v>3647.3</v>
      </c>
      <c r="Q405" s="87">
        <v>0</v>
      </c>
      <c r="R405" s="87">
        <f t="shared" si="193"/>
        <v>3583.9</v>
      </c>
      <c r="S405" s="87">
        <v>3583.9</v>
      </c>
      <c r="T405" s="87">
        <v>0</v>
      </c>
      <c r="U405" s="87">
        <f t="shared" si="194"/>
        <v>3652.2</v>
      </c>
      <c r="V405" s="87">
        <v>3652.2</v>
      </c>
      <c r="W405" s="87">
        <v>0</v>
      </c>
    </row>
    <row r="406" spans="1:23">
      <c r="A406" s="444"/>
      <c r="B406" s="440"/>
      <c r="C406" s="424"/>
      <c r="D406" s="447"/>
      <c r="E406" s="226" t="s">
        <v>98</v>
      </c>
      <c r="F406" s="226" t="s">
        <v>95</v>
      </c>
      <c r="G406" s="226" t="s">
        <v>226</v>
      </c>
      <c r="H406" s="250">
        <v>600</v>
      </c>
      <c r="I406" s="451"/>
      <c r="J406" s="451"/>
      <c r="K406" s="121"/>
      <c r="L406" s="90">
        <v>815.1</v>
      </c>
      <c r="M406" s="87">
        <v>1094.3</v>
      </c>
      <c r="N406" s="87">
        <v>761.8</v>
      </c>
      <c r="O406" s="87">
        <f t="shared" si="195"/>
        <v>819.2</v>
      </c>
      <c r="P406" s="87">
        <v>819.2</v>
      </c>
      <c r="Q406" s="87">
        <v>0</v>
      </c>
      <c r="R406" s="87">
        <f t="shared" si="193"/>
        <v>811.6</v>
      </c>
      <c r="S406" s="87">
        <v>811.6</v>
      </c>
      <c r="T406" s="87">
        <v>0</v>
      </c>
      <c r="U406" s="87">
        <f t="shared" si="194"/>
        <v>819.8</v>
      </c>
      <c r="V406" s="87">
        <v>819.8</v>
      </c>
      <c r="W406" s="87">
        <v>0</v>
      </c>
    </row>
    <row r="407" spans="1:23" ht="37.5">
      <c r="A407" s="444"/>
      <c r="B407" s="440"/>
      <c r="C407" s="424"/>
      <c r="D407" s="447"/>
      <c r="E407" s="226" t="s">
        <v>98</v>
      </c>
      <c r="F407" s="226" t="s">
        <v>95</v>
      </c>
      <c r="G407" s="226" t="s">
        <v>1162</v>
      </c>
      <c r="H407" s="250">
        <v>600</v>
      </c>
      <c r="I407" s="451"/>
      <c r="J407" s="451"/>
      <c r="K407" s="121"/>
      <c r="L407" s="90">
        <v>9343.2000000000007</v>
      </c>
      <c r="M407" s="87">
        <v>10630.9</v>
      </c>
      <c r="N407" s="87">
        <v>6497.9</v>
      </c>
      <c r="O407" s="87">
        <f t="shared" si="195"/>
        <v>10153.9</v>
      </c>
      <c r="P407" s="87">
        <v>10153.9</v>
      </c>
      <c r="Q407" s="87">
        <v>0</v>
      </c>
      <c r="R407" s="87">
        <f t="shared" si="193"/>
        <v>10032</v>
      </c>
      <c r="S407" s="87">
        <v>10032</v>
      </c>
      <c r="T407" s="87">
        <v>0</v>
      </c>
      <c r="U407" s="87">
        <f t="shared" si="194"/>
        <v>10163.4</v>
      </c>
      <c r="V407" s="87">
        <v>10163.4</v>
      </c>
      <c r="W407" s="87">
        <v>0</v>
      </c>
    </row>
    <row r="408" spans="1:23">
      <c r="A408" s="444"/>
      <c r="B408" s="440"/>
      <c r="C408" s="424"/>
      <c r="D408" s="447"/>
      <c r="E408" s="226" t="s">
        <v>98</v>
      </c>
      <c r="F408" s="226" t="s">
        <v>95</v>
      </c>
      <c r="G408" s="226" t="s">
        <v>1163</v>
      </c>
      <c r="H408" s="250">
        <v>600</v>
      </c>
      <c r="I408" s="451"/>
      <c r="J408" s="451"/>
      <c r="K408" s="121"/>
      <c r="L408" s="90">
        <v>0</v>
      </c>
      <c r="M408" s="87">
        <v>23.6</v>
      </c>
      <c r="N408" s="87">
        <v>0</v>
      </c>
      <c r="O408" s="87">
        <f t="shared" si="195"/>
        <v>22</v>
      </c>
      <c r="P408" s="87">
        <v>22</v>
      </c>
      <c r="Q408" s="87">
        <v>0</v>
      </c>
      <c r="R408" s="87">
        <f t="shared" si="193"/>
        <v>21.8</v>
      </c>
      <c r="S408" s="87">
        <v>21.8</v>
      </c>
      <c r="T408" s="87">
        <v>0</v>
      </c>
      <c r="U408" s="87">
        <f t="shared" si="194"/>
        <v>22</v>
      </c>
      <c r="V408" s="87">
        <v>22</v>
      </c>
      <c r="W408" s="87">
        <v>0</v>
      </c>
    </row>
    <row r="409" spans="1:23">
      <c r="A409" s="444"/>
      <c r="B409" s="440"/>
      <c r="C409" s="424"/>
      <c r="D409" s="447"/>
      <c r="E409" s="226" t="s">
        <v>98</v>
      </c>
      <c r="F409" s="226" t="s">
        <v>95</v>
      </c>
      <c r="G409" s="226" t="s">
        <v>1165</v>
      </c>
      <c r="H409" s="250">
        <v>600</v>
      </c>
      <c r="I409" s="451"/>
      <c r="J409" s="451"/>
      <c r="K409" s="121"/>
      <c r="L409" s="90">
        <v>17197.8</v>
      </c>
      <c r="M409" s="87">
        <v>16424</v>
      </c>
      <c r="N409" s="87">
        <v>2698.3</v>
      </c>
      <c r="O409" s="87">
        <f t="shared" si="195"/>
        <v>18756.099999999999</v>
      </c>
      <c r="P409" s="87">
        <v>18756.099999999999</v>
      </c>
      <c r="Q409" s="87">
        <v>0</v>
      </c>
      <c r="R409" s="87">
        <f t="shared" si="193"/>
        <v>18721.400000000001</v>
      </c>
      <c r="S409" s="87">
        <v>18721.400000000001</v>
      </c>
      <c r="T409" s="87">
        <v>0</v>
      </c>
      <c r="U409" s="87">
        <f t="shared" si="194"/>
        <v>18758.8</v>
      </c>
      <c r="V409" s="87">
        <v>18758.8</v>
      </c>
      <c r="W409" s="87">
        <v>0</v>
      </c>
    </row>
    <row r="410" spans="1:23">
      <c r="A410" s="445"/>
      <c r="B410" s="441"/>
      <c r="C410" s="448"/>
      <c r="D410" s="448"/>
      <c r="E410" s="226" t="s">
        <v>98</v>
      </c>
      <c r="F410" s="226" t="s">
        <v>95</v>
      </c>
      <c r="G410" s="226" t="s">
        <v>1166</v>
      </c>
      <c r="H410" s="250">
        <v>600</v>
      </c>
      <c r="I410" s="451"/>
      <c r="J410" s="451"/>
      <c r="K410" s="121"/>
      <c r="L410" s="90">
        <v>0</v>
      </c>
      <c r="M410" s="87">
        <v>30000</v>
      </c>
      <c r="N410" s="87">
        <v>0</v>
      </c>
      <c r="O410" s="87">
        <v>0</v>
      </c>
      <c r="P410" s="87">
        <v>0</v>
      </c>
      <c r="Q410" s="87">
        <v>0</v>
      </c>
      <c r="R410" s="87">
        <f>S410+T410</f>
        <v>0</v>
      </c>
      <c r="S410" s="87">
        <v>0</v>
      </c>
      <c r="T410" s="87">
        <v>0</v>
      </c>
      <c r="U410" s="87">
        <f>V410+W410</f>
        <v>0</v>
      </c>
      <c r="V410" s="87">
        <v>0</v>
      </c>
      <c r="W410" s="87">
        <v>0</v>
      </c>
    </row>
    <row r="411" spans="1:23" ht="37.5">
      <c r="A411" s="403" t="s">
        <v>1291</v>
      </c>
      <c r="B411" s="413" t="s">
        <v>1135</v>
      </c>
      <c r="C411" s="424" t="s">
        <v>1169</v>
      </c>
      <c r="D411" s="447" t="s">
        <v>393</v>
      </c>
      <c r="E411" s="226" t="s">
        <v>98</v>
      </c>
      <c r="F411" s="226" t="s">
        <v>98</v>
      </c>
      <c r="G411" s="226" t="s">
        <v>1170</v>
      </c>
      <c r="H411" s="250">
        <v>600</v>
      </c>
      <c r="I411" s="451"/>
      <c r="J411" s="451"/>
      <c r="K411" s="121"/>
      <c r="L411" s="90">
        <v>64528.1</v>
      </c>
      <c r="M411" s="87">
        <v>61402.5</v>
      </c>
      <c r="N411" s="87">
        <v>39300</v>
      </c>
      <c r="O411" s="87">
        <f t="shared" si="195"/>
        <v>64472.4</v>
      </c>
      <c r="P411" s="87">
        <v>64472.4</v>
      </c>
      <c r="Q411" s="87">
        <v>0</v>
      </c>
      <c r="R411" s="87">
        <f t="shared" si="193"/>
        <v>63912.2</v>
      </c>
      <c r="S411" s="87">
        <v>63912.2</v>
      </c>
      <c r="T411" s="87">
        <v>0</v>
      </c>
      <c r="U411" s="87">
        <f t="shared" si="194"/>
        <v>64516</v>
      </c>
      <c r="V411" s="87">
        <v>64516</v>
      </c>
      <c r="W411" s="87">
        <v>0</v>
      </c>
    </row>
    <row r="412" spans="1:23">
      <c r="A412" s="403"/>
      <c r="B412" s="413"/>
      <c r="C412" s="424"/>
      <c r="D412" s="448"/>
      <c r="E412" s="226" t="s">
        <v>98</v>
      </c>
      <c r="F412" s="226" t="s">
        <v>98</v>
      </c>
      <c r="G412" s="226" t="s">
        <v>1292</v>
      </c>
      <c r="H412" s="250">
        <v>600</v>
      </c>
      <c r="I412" s="451"/>
      <c r="J412" s="451"/>
      <c r="K412" s="121"/>
      <c r="L412" s="90">
        <v>1812.4</v>
      </c>
      <c r="M412" s="87">
        <v>0</v>
      </c>
      <c r="N412" s="87">
        <v>0</v>
      </c>
      <c r="O412" s="87">
        <v>0</v>
      </c>
      <c r="P412" s="87">
        <v>0</v>
      </c>
      <c r="Q412" s="87">
        <v>0</v>
      </c>
      <c r="R412" s="87">
        <f t="shared" si="193"/>
        <v>0</v>
      </c>
      <c r="S412" s="87">
        <v>0</v>
      </c>
      <c r="T412" s="87">
        <v>0</v>
      </c>
      <c r="U412" s="87">
        <f t="shared" si="194"/>
        <v>0</v>
      </c>
      <c r="V412" s="87">
        <v>0</v>
      </c>
      <c r="W412" s="87">
        <v>0</v>
      </c>
    </row>
    <row r="413" spans="1:23">
      <c r="A413" s="445"/>
      <c r="B413" s="441"/>
      <c r="C413" s="448"/>
      <c r="D413" s="448"/>
      <c r="E413" s="226" t="s">
        <v>98</v>
      </c>
      <c r="F413" s="226" t="s">
        <v>98</v>
      </c>
      <c r="G413" s="226" t="s">
        <v>986</v>
      </c>
      <c r="H413" s="250">
        <v>600</v>
      </c>
      <c r="I413" s="451"/>
      <c r="J413" s="451"/>
      <c r="K413" s="121"/>
      <c r="L413" s="90">
        <v>150</v>
      </c>
      <c r="M413" s="87">
        <v>0</v>
      </c>
      <c r="N413" s="87">
        <v>0</v>
      </c>
      <c r="O413" s="87">
        <f t="shared" si="195"/>
        <v>0</v>
      </c>
      <c r="P413" s="87">
        <v>0</v>
      </c>
      <c r="Q413" s="87">
        <v>0</v>
      </c>
      <c r="R413" s="87">
        <f t="shared" si="193"/>
        <v>0</v>
      </c>
      <c r="S413" s="87">
        <v>0</v>
      </c>
      <c r="T413" s="87">
        <v>0</v>
      </c>
      <c r="U413" s="87">
        <f t="shared" si="194"/>
        <v>0</v>
      </c>
      <c r="V413" s="87">
        <v>0</v>
      </c>
      <c r="W413" s="87">
        <v>0</v>
      </c>
    </row>
    <row r="414" spans="1:23">
      <c r="A414" s="403" t="s">
        <v>1168</v>
      </c>
      <c r="B414" s="413" t="s">
        <v>1172</v>
      </c>
      <c r="C414" s="424" t="s">
        <v>99</v>
      </c>
      <c r="D414" s="447" t="s">
        <v>396</v>
      </c>
      <c r="E414" s="226" t="s">
        <v>98</v>
      </c>
      <c r="F414" s="226" t="s">
        <v>95</v>
      </c>
      <c r="G414" s="226" t="s">
        <v>1010</v>
      </c>
      <c r="H414" s="250">
        <v>600</v>
      </c>
      <c r="I414" s="451"/>
      <c r="J414" s="451"/>
      <c r="K414" s="121"/>
      <c r="L414" s="90">
        <v>7893.4</v>
      </c>
      <c r="M414" s="87">
        <v>4502.3999999999996</v>
      </c>
      <c r="N414" s="87">
        <v>2586.6</v>
      </c>
      <c r="O414" s="87">
        <f>P414+Q414</f>
        <v>7656.3</v>
      </c>
      <c r="P414" s="87">
        <v>7656.3</v>
      </c>
      <c r="Q414" s="87">
        <v>0</v>
      </c>
      <c r="R414" s="87">
        <f t="shared" si="193"/>
        <v>7654</v>
      </c>
      <c r="S414" s="87">
        <v>7654</v>
      </c>
      <c r="T414" s="87">
        <v>0</v>
      </c>
      <c r="U414" s="87">
        <f t="shared" si="194"/>
        <v>7656.5</v>
      </c>
      <c r="V414" s="87">
        <v>7656.5</v>
      </c>
      <c r="W414" s="87">
        <v>0</v>
      </c>
    </row>
    <row r="415" spans="1:23" ht="37.5">
      <c r="A415" s="445"/>
      <c r="B415" s="441"/>
      <c r="C415" s="448"/>
      <c r="D415" s="448"/>
      <c r="E415" s="226" t="s">
        <v>98</v>
      </c>
      <c r="F415" s="226" t="s">
        <v>95</v>
      </c>
      <c r="G415" s="226" t="s">
        <v>1173</v>
      </c>
      <c r="H415" s="250">
        <v>600</v>
      </c>
      <c r="I415" s="451"/>
      <c r="J415" s="451"/>
      <c r="K415" s="121"/>
      <c r="L415" s="90">
        <v>504.4</v>
      </c>
      <c r="M415" s="87">
        <v>827.2</v>
      </c>
      <c r="N415" s="87">
        <v>350</v>
      </c>
      <c r="O415" s="87">
        <f t="shared" ref="O415" si="196">P415+Q415</f>
        <v>778.7</v>
      </c>
      <c r="P415" s="87">
        <v>778.7</v>
      </c>
      <c r="Q415" s="87">
        <v>0</v>
      </c>
      <c r="R415" s="87">
        <f t="shared" si="193"/>
        <v>771.5</v>
      </c>
      <c r="S415" s="87">
        <v>771.5</v>
      </c>
      <c r="T415" s="87">
        <v>0</v>
      </c>
      <c r="U415" s="87">
        <f t="shared" si="194"/>
        <v>779.3</v>
      </c>
      <c r="V415" s="87">
        <v>779.3</v>
      </c>
      <c r="W415" s="87">
        <v>0</v>
      </c>
    </row>
    <row r="416" spans="1:23" ht="93.75">
      <c r="A416" s="223" t="s">
        <v>1171</v>
      </c>
      <c r="B416" s="224" t="s">
        <v>1154</v>
      </c>
      <c r="C416" s="121" t="s">
        <v>1155</v>
      </c>
      <c r="D416" s="226" t="s">
        <v>1156</v>
      </c>
      <c r="E416" s="226" t="s">
        <v>98</v>
      </c>
      <c r="F416" s="226" t="s">
        <v>143</v>
      </c>
      <c r="G416" s="226" t="s">
        <v>1158</v>
      </c>
      <c r="H416" s="250">
        <v>600</v>
      </c>
      <c r="I416" s="452"/>
      <c r="J416" s="452"/>
      <c r="K416" s="121"/>
      <c r="L416" s="90">
        <v>0</v>
      </c>
      <c r="M416" s="87">
        <v>4940</v>
      </c>
      <c r="N416" s="87">
        <v>2773.1</v>
      </c>
      <c r="O416" s="87"/>
      <c r="P416" s="87"/>
      <c r="Q416" s="87"/>
      <c r="R416" s="87">
        <f t="shared" si="193"/>
        <v>0</v>
      </c>
      <c r="S416" s="87"/>
      <c r="T416" s="87"/>
      <c r="U416" s="87">
        <f>V416+W416</f>
        <v>0</v>
      </c>
      <c r="V416" s="87"/>
      <c r="W416" s="87"/>
    </row>
    <row r="417" spans="1:23" ht="37.5">
      <c r="A417" s="225" t="s">
        <v>34</v>
      </c>
      <c r="B417" s="205" t="s">
        <v>35</v>
      </c>
      <c r="C417" s="205"/>
      <c r="D417" s="148"/>
      <c r="E417" s="257"/>
      <c r="F417" s="257"/>
      <c r="G417" s="257"/>
      <c r="H417" s="257">
        <v>600</v>
      </c>
      <c r="I417" s="671"/>
      <c r="J417" s="205"/>
      <c r="K417" s="205"/>
      <c r="L417" s="96">
        <f>SUM(L418:L446)</f>
        <v>169338.9</v>
      </c>
      <c r="M417" s="96">
        <f t="shared" ref="M417:W417" si="197">SUM(M418:M446)</f>
        <v>371997.60000000003</v>
      </c>
      <c r="N417" s="96">
        <f t="shared" si="197"/>
        <v>176110.5</v>
      </c>
      <c r="O417" s="96">
        <f t="shared" si="197"/>
        <v>181361.59999999998</v>
      </c>
      <c r="P417" s="96">
        <f t="shared" si="197"/>
        <v>181361.59999999998</v>
      </c>
      <c r="Q417" s="96">
        <f t="shared" si="197"/>
        <v>0</v>
      </c>
      <c r="R417" s="96">
        <f t="shared" si="197"/>
        <v>145937.5</v>
      </c>
      <c r="S417" s="96">
        <f t="shared" si="197"/>
        <v>145937.5</v>
      </c>
      <c r="T417" s="96">
        <f t="shared" si="197"/>
        <v>0</v>
      </c>
      <c r="U417" s="96">
        <f t="shared" si="197"/>
        <v>147032.50000000003</v>
      </c>
      <c r="V417" s="96">
        <f t="shared" si="197"/>
        <v>147032.50000000003</v>
      </c>
      <c r="W417" s="96">
        <f t="shared" si="197"/>
        <v>0</v>
      </c>
    </row>
    <row r="418" spans="1:23" ht="150">
      <c r="A418" s="225" t="s">
        <v>492</v>
      </c>
      <c r="B418" s="228" t="s">
        <v>1174</v>
      </c>
      <c r="C418" s="117" t="s">
        <v>1175</v>
      </c>
      <c r="D418" s="226" t="s">
        <v>493</v>
      </c>
      <c r="E418" s="226" t="s">
        <v>93</v>
      </c>
      <c r="F418" s="226" t="s">
        <v>92</v>
      </c>
      <c r="G418" s="226" t="s">
        <v>494</v>
      </c>
      <c r="H418" s="250">
        <v>600</v>
      </c>
      <c r="I418" s="446" t="s">
        <v>1293</v>
      </c>
      <c r="J418" s="413" t="s">
        <v>1290</v>
      </c>
      <c r="K418" s="121"/>
      <c r="L418" s="90">
        <v>231.6</v>
      </c>
      <c r="M418" s="87">
        <v>0</v>
      </c>
      <c r="N418" s="87">
        <v>0</v>
      </c>
      <c r="O418" s="87">
        <f>P418+Q418</f>
        <v>0</v>
      </c>
      <c r="P418" s="87">
        <v>0</v>
      </c>
      <c r="Q418" s="87">
        <v>0</v>
      </c>
      <c r="R418" s="87">
        <f t="shared" ref="R418:R446" si="198">S418+T418</f>
        <v>0</v>
      </c>
      <c r="S418" s="87">
        <v>0</v>
      </c>
      <c r="T418" s="87">
        <v>0</v>
      </c>
      <c r="U418" s="87">
        <f t="shared" ref="U418:U446" si="199">V418+W418</f>
        <v>0</v>
      </c>
      <c r="V418" s="87">
        <v>0</v>
      </c>
      <c r="W418" s="87">
        <v>0</v>
      </c>
    </row>
    <row r="419" spans="1:23">
      <c r="A419" s="403" t="s">
        <v>1176</v>
      </c>
      <c r="B419" s="413" t="s">
        <v>1148</v>
      </c>
      <c r="C419" s="424" t="s">
        <v>1149</v>
      </c>
      <c r="D419" s="447" t="s">
        <v>394</v>
      </c>
      <c r="E419" s="226" t="s">
        <v>93</v>
      </c>
      <c r="F419" s="226" t="s">
        <v>97</v>
      </c>
      <c r="G419" s="226" t="s">
        <v>185</v>
      </c>
      <c r="H419" s="250">
        <v>600</v>
      </c>
      <c r="I419" s="439"/>
      <c r="J419" s="441"/>
      <c r="K419" s="121"/>
      <c r="L419" s="90">
        <v>1946.8</v>
      </c>
      <c r="M419" s="87">
        <v>3931.3</v>
      </c>
      <c r="N419" s="87">
        <v>1740</v>
      </c>
      <c r="O419" s="87">
        <f t="shared" ref="O419:O446" si="200">P419+Q419</f>
        <v>3000</v>
      </c>
      <c r="P419" s="87">
        <v>3000</v>
      </c>
      <c r="Q419" s="87">
        <v>0</v>
      </c>
      <c r="R419" s="87">
        <f t="shared" si="198"/>
        <v>3000</v>
      </c>
      <c r="S419" s="87">
        <v>3000</v>
      </c>
      <c r="T419" s="87">
        <v>0</v>
      </c>
      <c r="U419" s="87">
        <f t="shared" si="199"/>
        <v>3000</v>
      </c>
      <c r="V419" s="87">
        <v>3000</v>
      </c>
      <c r="W419" s="87">
        <v>0</v>
      </c>
    </row>
    <row r="420" spans="1:23">
      <c r="A420" s="444"/>
      <c r="B420" s="440"/>
      <c r="C420" s="424"/>
      <c r="D420" s="448"/>
      <c r="E420" s="226" t="s">
        <v>93</v>
      </c>
      <c r="F420" s="226" t="s">
        <v>97</v>
      </c>
      <c r="G420" s="226" t="s">
        <v>1237</v>
      </c>
      <c r="H420" s="250">
        <v>600</v>
      </c>
      <c r="I420" s="439"/>
      <c r="J420" s="441"/>
      <c r="K420" s="121"/>
      <c r="L420" s="90">
        <v>932.7</v>
      </c>
      <c r="M420" s="87">
        <v>950</v>
      </c>
      <c r="N420" s="87">
        <v>949.9</v>
      </c>
      <c r="O420" s="87">
        <f t="shared" si="200"/>
        <v>0</v>
      </c>
      <c r="P420" s="87">
        <v>0</v>
      </c>
      <c r="Q420" s="87">
        <v>0</v>
      </c>
      <c r="R420" s="87">
        <f t="shared" si="198"/>
        <v>0</v>
      </c>
      <c r="S420" s="87">
        <v>0</v>
      </c>
      <c r="T420" s="87">
        <v>0</v>
      </c>
      <c r="U420" s="87">
        <f t="shared" si="199"/>
        <v>0</v>
      </c>
      <c r="V420" s="87">
        <v>0</v>
      </c>
      <c r="W420" s="87">
        <v>0</v>
      </c>
    </row>
    <row r="421" spans="1:23">
      <c r="A421" s="444"/>
      <c r="B421" s="440"/>
      <c r="C421" s="424"/>
      <c r="D421" s="448"/>
      <c r="E421" s="226" t="s">
        <v>93</v>
      </c>
      <c r="F421" s="226" t="s">
        <v>97</v>
      </c>
      <c r="G421" s="226" t="s">
        <v>108</v>
      </c>
      <c r="H421" s="250">
        <v>600</v>
      </c>
      <c r="I421" s="439"/>
      <c r="J421" s="441"/>
      <c r="K421" s="121"/>
      <c r="L421" s="90">
        <v>30448.799999999999</v>
      </c>
      <c r="M421" s="87">
        <v>45099.6</v>
      </c>
      <c r="N421" s="87">
        <v>24169.1</v>
      </c>
      <c r="O421" s="87">
        <f t="shared" si="200"/>
        <v>47624.6</v>
      </c>
      <c r="P421" s="87">
        <v>47624.6</v>
      </c>
      <c r="Q421" s="87">
        <v>0</v>
      </c>
      <c r="R421" s="87">
        <f t="shared" si="198"/>
        <v>47118.6</v>
      </c>
      <c r="S421" s="87">
        <v>47118.6</v>
      </c>
      <c r="T421" s="87">
        <v>0</v>
      </c>
      <c r="U421" s="87">
        <f t="shared" si="199"/>
        <v>47664</v>
      </c>
      <c r="V421" s="87">
        <v>47664</v>
      </c>
      <c r="W421" s="87">
        <v>0</v>
      </c>
    </row>
    <row r="422" spans="1:23">
      <c r="A422" s="444"/>
      <c r="B422" s="440"/>
      <c r="C422" s="424"/>
      <c r="D422" s="448"/>
      <c r="E422" s="226" t="s">
        <v>93</v>
      </c>
      <c r="F422" s="226" t="s">
        <v>97</v>
      </c>
      <c r="G422" s="226" t="s">
        <v>1178</v>
      </c>
      <c r="H422" s="250">
        <v>600</v>
      </c>
      <c r="I422" s="439"/>
      <c r="J422" s="441"/>
      <c r="K422" s="121"/>
      <c r="L422" s="90">
        <v>32405.200000000001</v>
      </c>
      <c r="M422" s="87">
        <v>33257</v>
      </c>
      <c r="N422" s="87">
        <v>1252.7</v>
      </c>
      <c r="O422" s="87">
        <f t="shared" si="200"/>
        <v>2316.8000000000002</v>
      </c>
      <c r="P422" s="87">
        <v>2316.8000000000002</v>
      </c>
      <c r="Q422" s="87">
        <v>0</v>
      </c>
      <c r="R422" s="87">
        <f t="shared" si="198"/>
        <v>2295.3000000000002</v>
      </c>
      <c r="S422" s="87">
        <v>2295.3000000000002</v>
      </c>
      <c r="T422" s="87">
        <v>0</v>
      </c>
      <c r="U422" s="87">
        <f t="shared" si="199"/>
        <v>2318.5</v>
      </c>
      <c r="V422" s="87">
        <v>2318.5</v>
      </c>
      <c r="W422" s="87">
        <v>0</v>
      </c>
    </row>
    <row r="423" spans="1:23">
      <c r="A423" s="444"/>
      <c r="B423" s="440"/>
      <c r="C423" s="424"/>
      <c r="D423" s="448"/>
      <c r="E423" s="226" t="s">
        <v>93</v>
      </c>
      <c r="F423" s="226" t="s">
        <v>97</v>
      </c>
      <c r="G423" s="226" t="s">
        <v>227</v>
      </c>
      <c r="H423" s="250">
        <v>600</v>
      </c>
      <c r="I423" s="439"/>
      <c r="J423" s="441"/>
      <c r="K423" s="121"/>
      <c r="L423" s="90">
        <v>10563.1</v>
      </c>
      <c r="M423" s="87">
        <v>6019.8</v>
      </c>
      <c r="N423" s="87">
        <v>3142.2</v>
      </c>
      <c r="O423" s="87">
        <f t="shared" si="200"/>
        <v>15781.4</v>
      </c>
      <c r="P423" s="87">
        <v>15781.4</v>
      </c>
      <c r="Q423" s="87">
        <v>0</v>
      </c>
      <c r="R423" s="87">
        <f t="shared" si="198"/>
        <v>15700.1</v>
      </c>
      <c r="S423" s="87">
        <v>15700.1</v>
      </c>
      <c r="T423" s="87">
        <v>0</v>
      </c>
      <c r="U423" s="87">
        <f t="shared" si="199"/>
        <v>15787.7</v>
      </c>
      <c r="V423" s="87">
        <v>15787.7</v>
      </c>
      <c r="W423" s="87">
        <v>0</v>
      </c>
    </row>
    <row r="424" spans="1:23">
      <c r="A424" s="444"/>
      <c r="B424" s="440"/>
      <c r="C424" s="424"/>
      <c r="D424" s="448"/>
      <c r="E424" s="226" t="s">
        <v>93</v>
      </c>
      <c r="F424" s="226" t="s">
        <v>97</v>
      </c>
      <c r="G424" s="226" t="s">
        <v>162</v>
      </c>
      <c r="H424" s="250">
        <v>600</v>
      </c>
      <c r="I424" s="439"/>
      <c r="J424" s="441"/>
      <c r="K424" s="121"/>
      <c r="L424" s="90">
        <v>804.4</v>
      </c>
      <c r="M424" s="87">
        <v>764.8</v>
      </c>
      <c r="N424" s="87">
        <v>93.8</v>
      </c>
      <c r="O424" s="87">
        <f t="shared" si="200"/>
        <v>720</v>
      </c>
      <c r="P424" s="87">
        <v>720</v>
      </c>
      <c r="Q424" s="87">
        <v>0</v>
      </c>
      <c r="R424" s="87">
        <f t="shared" si="198"/>
        <v>713.3</v>
      </c>
      <c r="S424" s="87">
        <v>713.3</v>
      </c>
      <c r="T424" s="87">
        <v>0</v>
      </c>
      <c r="U424" s="87">
        <f t="shared" si="199"/>
        <v>720.5</v>
      </c>
      <c r="V424" s="87">
        <v>720.5</v>
      </c>
      <c r="W424" s="87">
        <v>0</v>
      </c>
    </row>
    <row r="425" spans="1:23">
      <c r="A425" s="444"/>
      <c r="B425" s="440"/>
      <c r="C425" s="424"/>
      <c r="D425" s="448"/>
      <c r="E425" s="226" t="s">
        <v>93</v>
      </c>
      <c r="F425" s="226" t="s">
        <v>97</v>
      </c>
      <c r="G425" s="226" t="s">
        <v>123</v>
      </c>
      <c r="H425" s="250">
        <v>600</v>
      </c>
      <c r="I425" s="439"/>
      <c r="J425" s="441"/>
      <c r="K425" s="121"/>
      <c r="L425" s="90">
        <v>891.5</v>
      </c>
      <c r="M425" s="87">
        <v>17710.400000000001</v>
      </c>
      <c r="N425" s="87">
        <v>0</v>
      </c>
      <c r="O425" s="87">
        <f t="shared" si="200"/>
        <v>24110</v>
      </c>
      <c r="P425" s="87">
        <v>24110</v>
      </c>
      <c r="Q425" s="87">
        <v>0</v>
      </c>
      <c r="R425" s="87">
        <f t="shared" si="198"/>
        <v>23886.6</v>
      </c>
      <c r="S425" s="87">
        <v>23886.6</v>
      </c>
      <c r="T425" s="87">
        <v>0</v>
      </c>
      <c r="U425" s="87">
        <f t="shared" si="199"/>
        <v>24127.4</v>
      </c>
      <c r="V425" s="87">
        <v>24127.4</v>
      </c>
      <c r="W425" s="87">
        <v>0</v>
      </c>
    </row>
    <row r="426" spans="1:23">
      <c r="A426" s="444"/>
      <c r="B426" s="440"/>
      <c r="C426" s="424"/>
      <c r="D426" s="448"/>
      <c r="E426" s="226" t="s">
        <v>93</v>
      </c>
      <c r="F426" s="226" t="s">
        <v>97</v>
      </c>
      <c r="G426" s="226" t="s">
        <v>94</v>
      </c>
      <c r="H426" s="250">
        <v>600</v>
      </c>
      <c r="I426" s="439"/>
      <c r="J426" s="441"/>
      <c r="K426" s="121"/>
      <c r="L426" s="90">
        <v>100</v>
      </c>
      <c r="M426" s="87">
        <v>400</v>
      </c>
      <c r="N426" s="87">
        <v>200</v>
      </c>
      <c r="O426" s="87">
        <f t="shared" si="200"/>
        <v>350</v>
      </c>
      <c r="P426" s="87">
        <v>350</v>
      </c>
      <c r="Q426" s="87">
        <v>0</v>
      </c>
      <c r="R426" s="87">
        <f t="shared" si="198"/>
        <v>346.8</v>
      </c>
      <c r="S426" s="87">
        <v>346.8</v>
      </c>
      <c r="T426" s="87">
        <v>0</v>
      </c>
      <c r="U426" s="87">
        <f t="shared" si="199"/>
        <v>350.3</v>
      </c>
      <c r="V426" s="87">
        <v>350.3</v>
      </c>
      <c r="W426" s="87">
        <v>0</v>
      </c>
    </row>
    <row r="427" spans="1:23">
      <c r="A427" s="223" t="s">
        <v>1179</v>
      </c>
      <c r="B427" s="224" t="s">
        <v>381</v>
      </c>
      <c r="C427" s="121"/>
      <c r="D427" s="226" t="s">
        <v>454</v>
      </c>
      <c r="E427" s="226" t="s">
        <v>93</v>
      </c>
      <c r="F427" s="226" t="s">
        <v>97</v>
      </c>
      <c r="G427" s="226" t="s">
        <v>192</v>
      </c>
      <c r="H427" s="250">
        <v>600</v>
      </c>
      <c r="I427" s="439"/>
      <c r="J427" s="441"/>
      <c r="K427" s="121"/>
      <c r="L427" s="90">
        <v>280</v>
      </c>
      <c r="M427" s="87">
        <v>0</v>
      </c>
      <c r="N427" s="87">
        <v>0</v>
      </c>
      <c r="O427" s="87">
        <f>P427+Q427</f>
        <v>0</v>
      </c>
      <c r="P427" s="87">
        <v>0</v>
      </c>
      <c r="Q427" s="87">
        <v>0</v>
      </c>
      <c r="R427" s="87">
        <f t="shared" si="198"/>
        <v>0</v>
      </c>
      <c r="S427" s="87">
        <v>0</v>
      </c>
      <c r="T427" s="87">
        <v>0</v>
      </c>
      <c r="U427" s="87">
        <f t="shared" si="199"/>
        <v>0</v>
      </c>
      <c r="V427" s="87">
        <v>0</v>
      </c>
      <c r="W427" s="87">
        <v>0</v>
      </c>
    </row>
    <row r="428" spans="1:23">
      <c r="A428" s="403" t="s">
        <v>457</v>
      </c>
      <c r="B428" s="440" t="s">
        <v>1154</v>
      </c>
      <c r="C428" s="449" t="s">
        <v>1155</v>
      </c>
      <c r="D428" s="447" t="s">
        <v>1156</v>
      </c>
      <c r="E428" s="226" t="s">
        <v>98</v>
      </c>
      <c r="F428" s="226" t="s">
        <v>143</v>
      </c>
      <c r="G428" s="226" t="s">
        <v>1180</v>
      </c>
      <c r="H428" s="250">
        <v>600</v>
      </c>
      <c r="I428" s="439"/>
      <c r="J428" s="441"/>
      <c r="K428" s="121"/>
      <c r="L428" s="171">
        <v>1232.8</v>
      </c>
      <c r="M428" s="87">
        <v>0</v>
      </c>
      <c r="N428" s="87">
        <v>0</v>
      </c>
      <c r="O428" s="87">
        <f t="shared" si="200"/>
        <v>0</v>
      </c>
      <c r="P428" s="87">
        <v>0</v>
      </c>
      <c r="Q428" s="87">
        <v>0</v>
      </c>
      <c r="R428" s="87">
        <f t="shared" si="198"/>
        <v>0</v>
      </c>
      <c r="S428" s="87">
        <v>0</v>
      </c>
      <c r="T428" s="87">
        <v>0</v>
      </c>
      <c r="U428" s="87">
        <f t="shared" si="199"/>
        <v>0</v>
      </c>
      <c r="V428" s="87">
        <v>0</v>
      </c>
      <c r="W428" s="87">
        <v>0</v>
      </c>
    </row>
    <row r="429" spans="1:23">
      <c r="A429" s="403"/>
      <c r="B429" s="440"/>
      <c r="C429" s="449"/>
      <c r="D429" s="447"/>
      <c r="E429" s="226" t="s">
        <v>98</v>
      </c>
      <c r="F429" s="226" t="s">
        <v>143</v>
      </c>
      <c r="G429" s="226" t="s">
        <v>1158</v>
      </c>
      <c r="H429" s="250">
        <v>600</v>
      </c>
      <c r="I429" s="439"/>
      <c r="J429" s="441"/>
      <c r="K429" s="121"/>
      <c r="L429" s="171">
        <v>15657.2</v>
      </c>
      <c r="M429" s="87">
        <v>0</v>
      </c>
      <c r="N429" s="87">
        <v>0</v>
      </c>
      <c r="O429" s="87">
        <f t="shared" si="200"/>
        <v>0</v>
      </c>
      <c r="P429" s="87">
        <v>0</v>
      </c>
      <c r="Q429" s="87">
        <v>0</v>
      </c>
      <c r="R429" s="87">
        <f t="shared" si="198"/>
        <v>0</v>
      </c>
      <c r="S429" s="87">
        <v>0</v>
      </c>
      <c r="T429" s="87">
        <v>0</v>
      </c>
      <c r="U429" s="87">
        <f t="shared" si="199"/>
        <v>0</v>
      </c>
      <c r="V429" s="87">
        <v>0</v>
      </c>
      <c r="W429" s="87">
        <v>0</v>
      </c>
    </row>
    <row r="430" spans="1:23" ht="37.5">
      <c r="A430" s="403"/>
      <c r="B430" s="440"/>
      <c r="C430" s="449"/>
      <c r="D430" s="447"/>
      <c r="E430" s="226" t="s">
        <v>98</v>
      </c>
      <c r="F430" s="226" t="s">
        <v>143</v>
      </c>
      <c r="G430" s="226" t="s">
        <v>1160</v>
      </c>
      <c r="H430" s="250">
        <v>600</v>
      </c>
      <c r="I430" s="439"/>
      <c r="J430" s="441"/>
      <c r="K430" s="121"/>
      <c r="L430" s="171">
        <v>319.8</v>
      </c>
      <c r="M430" s="87">
        <v>24.2</v>
      </c>
      <c r="N430" s="87">
        <v>0</v>
      </c>
      <c r="O430" s="87">
        <f t="shared" si="200"/>
        <v>226.8</v>
      </c>
      <c r="P430" s="87">
        <v>226.8</v>
      </c>
      <c r="Q430" s="87">
        <v>0</v>
      </c>
      <c r="R430" s="87">
        <f t="shared" si="198"/>
        <v>22.4</v>
      </c>
      <c r="S430" s="87">
        <v>22.4</v>
      </c>
      <c r="T430" s="87">
        <v>0</v>
      </c>
      <c r="U430" s="87">
        <f t="shared" si="199"/>
        <v>22.4</v>
      </c>
      <c r="V430" s="87">
        <v>22.4</v>
      </c>
      <c r="W430" s="87">
        <v>0</v>
      </c>
    </row>
    <row r="431" spans="1:23">
      <c r="A431" s="403"/>
      <c r="B431" s="440"/>
      <c r="C431" s="449"/>
      <c r="D431" s="447"/>
      <c r="E431" s="226" t="s">
        <v>98</v>
      </c>
      <c r="F431" s="226" t="s">
        <v>143</v>
      </c>
      <c r="G431" s="226" t="s">
        <v>1157</v>
      </c>
      <c r="H431" s="250">
        <v>600</v>
      </c>
      <c r="I431" s="439"/>
      <c r="J431" s="441"/>
      <c r="K431" s="121"/>
      <c r="L431" s="171">
        <v>0</v>
      </c>
      <c r="M431" s="87">
        <v>14007.3</v>
      </c>
      <c r="N431" s="87">
        <v>6583.4</v>
      </c>
      <c r="O431" s="87">
        <f t="shared" si="200"/>
        <v>2981.4</v>
      </c>
      <c r="P431" s="87">
        <v>2981.4</v>
      </c>
      <c r="Q431" s="87">
        <v>0</v>
      </c>
      <c r="R431" s="87">
        <f t="shared" si="198"/>
        <v>3713.5</v>
      </c>
      <c r="S431" s="87">
        <v>3713.5</v>
      </c>
      <c r="T431" s="87">
        <v>0</v>
      </c>
      <c r="U431" s="87">
        <f t="shared" si="199"/>
        <v>3719.6</v>
      </c>
      <c r="V431" s="87">
        <v>3719.6</v>
      </c>
      <c r="W431" s="87">
        <v>0</v>
      </c>
    </row>
    <row r="432" spans="1:23">
      <c r="A432" s="403"/>
      <c r="B432" s="440"/>
      <c r="C432" s="449"/>
      <c r="D432" s="447"/>
      <c r="E432" s="226" t="s">
        <v>98</v>
      </c>
      <c r="F432" s="226" t="s">
        <v>143</v>
      </c>
      <c r="G432" s="226" t="s">
        <v>225</v>
      </c>
      <c r="H432" s="250">
        <v>600</v>
      </c>
      <c r="I432" s="439"/>
      <c r="J432" s="441"/>
      <c r="K432" s="121"/>
      <c r="L432" s="90">
        <v>3310.6</v>
      </c>
      <c r="M432" s="87">
        <v>2850</v>
      </c>
      <c r="N432" s="87">
        <v>1193.4000000000001</v>
      </c>
      <c r="O432" s="87">
        <f t="shared" si="200"/>
        <v>3200</v>
      </c>
      <c r="P432" s="87">
        <v>3200</v>
      </c>
      <c r="Q432" s="87">
        <v>0</v>
      </c>
      <c r="R432" s="87">
        <f t="shared" si="198"/>
        <v>3200</v>
      </c>
      <c r="S432" s="87">
        <v>3200</v>
      </c>
      <c r="T432" s="87">
        <v>0</v>
      </c>
      <c r="U432" s="87">
        <f t="shared" si="199"/>
        <v>3200</v>
      </c>
      <c r="V432" s="87">
        <v>3200</v>
      </c>
      <c r="W432" s="87">
        <v>0</v>
      </c>
    </row>
    <row r="433" spans="1:23">
      <c r="A433" s="403"/>
      <c r="B433" s="440"/>
      <c r="C433" s="450"/>
      <c r="D433" s="447"/>
      <c r="E433" s="226" t="s">
        <v>98</v>
      </c>
      <c r="F433" s="226" t="s">
        <v>143</v>
      </c>
      <c r="G433" s="226" t="s">
        <v>1159</v>
      </c>
      <c r="H433" s="250">
        <v>600</v>
      </c>
      <c r="I433" s="439"/>
      <c r="J433" s="441"/>
      <c r="K433" s="121"/>
      <c r="L433" s="171">
        <v>6942</v>
      </c>
      <c r="M433" s="87">
        <v>72838.100000000006</v>
      </c>
      <c r="N433" s="87">
        <v>29526.7</v>
      </c>
      <c r="O433" s="87">
        <f t="shared" si="200"/>
        <v>10995.5</v>
      </c>
      <c r="P433" s="87">
        <v>10995.5</v>
      </c>
      <c r="Q433" s="87">
        <v>0</v>
      </c>
      <c r="R433" s="87">
        <f t="shared" si="198"/>
        <v>11032.4</v>
      </c>
      <c r="S433" s="87">
        <v>11032.4</v>
      </c>
      <c r="T433" s="87">
        <v>0</v>
      </c>
      <c r="U433" s="87">
        <f t="shared" si="199"/>
        <v>11064.3</v>
      </c>
      <c r="V433" s="87">
        <v>11064.3</v>
      </c>
      <c r="W433" s="87">
        <v>0</v>
      </c>
    </row>
    <row r="434" spans="1:23" ht="37.5">
      <c r="A434" s="403" t="s">
        <v>458</v>
      </c>
      <c r="B434" s="413" t="s">
        <v>1153</v>
      </c>
      <c r="C434" s="424" t="s">
        <v>1161</v>
      </c>
      <c r="D434" s="447" t="s">
        <v>395</v>
      </c>
      <c r="E434" s="226" t="s">
        <v>98</v>
      </c>
      <c r="F434" s="226" t="s">
        <v>95</v>
      </c>
      <c r="G434" s="226" t="s">
        <v>1181</v>
      </c>
      <c r="H434" s="250">
        <v>600</v>
      </c>
      <c r="I434" s="439"/>
      <c r="J434" s="441"/>
      <c r="K434" s="121"/>
      <c r="L434" s="90">
        <v>0</v>
      </c>
      <c r="M434" s="87">
        <v>0</v>
      </c>
      <c r="N434" s="87">
        <v>0</v>
      </c>
      <c r="O434" s="87">
        <f t="shared" si="200"/>
        <v>2200</v>
      </c>
      <c r="P434" s="87">
        <v>2200</v>
      </c>
      <c r="Q434" s="87">
        <v>0</v>
      </c>
      <c r="R434" s="87">
        <f t="shared" si="198"/>
        <v>2200</v>
      </c>
      <c r="S434" s="87">
        <v>2200</v>
      </c>
      <c r="T434" s="87">
        <v>0</v>
      </c>
      <c r="U434" s="87">
        <f t="shared" si="199"/>
        <v>2200</v>
      </c>
      <c r="V434" s="87">
        <v>2200</v>
      </c>
      <c r="W434" s="87">
        <v>0</v>
      </c>
    </row>
    <row r="435" spans="1:23">
      <c r="A435" s="444"/>
      <c r="B435" s="413"/>
      <c r="C435" s="439"/>
      <c r="D435" s="447"/>
      <c r="E435" s="226" t="s">
        <v>98</v>
      </c>
      <c r="F435" s="226" t="s">
        <v>95</v>
      </c>
      <c r="G435" s="226" t="s">
        <v>1294</v>
      </c>
      <c r="H435" s="250">
        <v>600</v>
      </c>
      <c r="I435" s="439"/>
      <c r="J435" s="441"/>
      <c r="K435" s="121"/>
      <c r="L435" s="90">
        <v>371</v>
      </c>
      <c r="M435" s="87">
        <v>0</v>
      </c>
      <c r="N435" s="87">
        <v>0</v>
      </c>
      <c r="O435" s="87">
        <f t="shared" si="200"/>
        <v>0</v>
      </c>
      <c r="P435" s="87">
        <v>0</v>
      </c>
      <c r="Q435" s="87">
        <v>0</v>
      </c>
      <c r="R435" s="87">
        <f t="shared" si="198"/>
        <v>0</v>
      </c>
      <c r="S435" s="87">
        <v>0</v>
      </c>
      <c r="T435" s="87">
        <v>0</v>
      </c>
      <c r="U435" s="87">
        <f t="shared" si="199"/>
        <v>0</v>
      </c>
      <c r="V435" s="87">
        <v>0</v>
      </c>
      <c r="W435" s="87">
        <v>0</v>
      </c>
    </row>
    <row r="436" spans="1:23" ht="37.5">
      <c r="A436" s="444"/>
      <c r="B436" s="413"/>
      <c r="C436" s="439"/>
      <c r="D436" s="447"/>
      <c r="E436" s="226" t="s">
        <v>98</v>
      </c>
      <c r="F436" s="226" t="s">
        <v>95</v>
      </c>
      <c r="G436" s="226" t="s">
        <v>1162</v>
      </c>
      <c r="H436" s="250">
        <v>600</v>
      </c>
      <c r="I436" s="439"/>
      <c r="J436" s="441"/>
      <c r="K436" s="121"/>
      <c r="L436" s="90">
        <v>0</v>
      </c>
      <c r="M436" s="87">
        <v>20.3</v>
      </c>
      <c r="N436" s="87">
        <v>20.3</v>
      </c>
      <c r="O436" s="87">
        <f t="shared" si="200"/>
        <v>0</v>
      </c>
      <c r="P436" s="87">
        <v>0</v>
      </c>
      <c r="Q436" s="87">
        <v>0</v>
      </c>
      <c r="R436" s="87">
        <f t="shared" si="198"/>
        <v>0</v>
      </c>
      <c r="S436" s="87">
        <v>0</v>
      </c>
      <c r="T436" s="87">
        <v>0</v>
      </c>
      <c r="U436" s="87">
        <f t="shared" si="199"/>
        <v>0</v>
      </c>
      <c r="V436" s="87">
        <v>0</v>
      </c>
      <c r="W436" s="87">
        <v>0</v>
      </c>
    </row>
    <row r="437" spans="1:23">
      <c r="A437" s="444"/>
      <c r="B437" s="413"/>
      <c r="C437" s="439"/>
      <c r="D437" s="447"/>
      <c r="E437" s="226" t="s">
        <v>98</v>
      </c>
      <c r="F437" s="226" t="s">
        <v>95</v>
      </c>
      <c r="G437" s="226" t="s">
        <v>256</v>
      </c>
      <c r="H437" s="250">
        <v>600</v>
      </c>
      <c r="I437" s="439"/>
      <c r="J437" s="441"/>
      <c r="K437" s="121"/>
      <c r="L437" s="90">
        <v>336.7</v>
      </c>
      <c r="M437" s="87">
        <v>400</v>
      </c>
      <c r="N437" s="87">
        <v>300</v>
      </c>
      <c r="O437" s="87">
        <f t="shared" si="200"/>
        <v>351.3</v>
      </c>
      <c r="P437" s="87">
        <v>351.3</v>
      </c>
      <c r="Q437" s="87">
        <v>0</v>
      </c>
      <c r="R437" s="87">
        <f t="shared" si="198"/>
        <v>348</v>
      </c>
      <c r="S437" s="87">
        <v>348</v>
      </c>
      <c r="T437" s="87">
        <v>0</v>
      </c>
      <c r="U437" s="87">
        <f t="shared" si="199"/>
        <v>351.6</v>
      </c>
      <c r="V437" s="87">
        <v>351.6</v>
      </c>
      <c r="W437" s="87">
        <v>0</v>
      </c>
    </row>
    <row r="438" spans="1:23">
      <c r="A438" s="444"/>
      <c r="B438" s="441"/>
      <c r="C438" s="439"/>
      <c r="D438" s="448"/>
      <c r="E438" s="226" t="s">
        <v>98</v>
      </c>
      <c r="F438" s="226" t="s">
        <v>95</v>
      </c>
      <c r="G438" s="226" t="s">
        <v>1182</v>
      </c>
      <c r="H438" s="250">
        <v>600</v>
      </c>
      <c r="I438" s="439"/>
      <c r="J438" s="441"/>
      <c r="K438" s="121"/>
      <c r="L438" s="90">
        <v>40053</v>
      </c>
      <c r="M438" s="87">
        <v>39144.6</v>
      </c>
      <c r="N438" s="87">
        <v>1950.7</v>
      </c>
      <c r="O438" s="87">
        <f t="shared" si="200"/>
        <v>35008</v>
      </c>
      <c r="P438" s="87">
        <v>35008</v>
      </c>
      <c r="Q438" s="87">
        <v>0</v>
      </c>
      <c r="R438" s="87">
        <f t="shared" si="198"/>
        <v>0</v>
      </c>
      <c r="S438" s="87">
        <v>0</v>
      </c>
      <c r="T438" s="87">
        <v>0</v>
      </c>
      <c r="U438" s="87">
        <f t="shared" si="199"/>
        <v>0</v>
      </c>
      <c r="V438" s="87">
        <v>0</v>
      </c>
      <c r="W438" s="87">
        <v>0</v>
      </c>
    </row>
    <row r="439" spans="1:23">
      <c r="A439" s="444"/>
      <c r="B439" s="441"/>
      <c r="C439" s="439"/>
      <c r="D439" s="448"/>
      <c r="E439" s="226" t="s">
        <v>98</v>
      </c>
      <c r="F439" s="226" t="s">
        <v>95</v>
      </c>
      <c r="G439" s="226" t="s">
        <v>1164</v>
      </c>
      <c r="H439" s="250">
        <v>600</v>
      </c>
      <c r="I439" s="439"/>
      <c r="J439" s="441"/>
      <c r="K439" s="121"/>
      <c r="L439" s="90">
        <v>994.8</v>
      </c>
      <c r="M439" s="87">
        <v>17408.2</v>
      </c>
      <c r="N439" s="87">
        <v>7965.1</v>
      </c>
      <c r="O439" s="87">
        <f t="shared" si="200"/>
        <v>878.1</v>
      </c>
      <c r="P439" s="87">
        <v>878.1</v>
      </c>
      <c r="Q439" s="87">
        <v>0</v>
      </c>
      <c r="R439" s="87">
        <f t="shared" si="198"/>
        <v>870</v>
      </c>
      <c r="S439" s="87">
        <v>870</v>
      </c>
      <c r="T439" s="87">
        <v>0</v>
      </c>
      <c r="U439" s="87">
        <f t="shared" si="199"/>
        <v>878.7</v>
      </c>
      <c r="V439" s="87">
        <v>878.7</v>
      </c>
      <c r="W439" s="87">
        <v>0</v>
      </c>
    </row>
    <row r="440" spans="1:23">
      <c r="A440" s="444"/>
      <c r="B440" s="441"/>
      <c r="C440" s="439"/>
      <c r="D440" s="448"/>
      <c r="E440" s="226" t="s">
        <v>98</v>
      </c>
      <c r="F440" s="226" t="s">
        <v>95</v>
      </c>
      <c r="G440" s="226" t="s">
        <v>1183</v>
      </c>
      <c r="H440" s="250">
        <v>600</v>
      </c>
      <c r="I440" s="439"/>
      <c r="J440" s="441"/>
      <c r="K440" s="121"/>
      <c r="L440" s="90">
        <v>21466.9</v>
      </c>
      <c r="M440" s="87">
        <v>21490.9</v>
      </c>
      <c r="N440" s="87">
        <v>2023.2</v>
      </c>
      <c r="O440" s="87">
        <f t="shared" si="200"/>
        <v>22492.9</v>
      </c>
      <c r="P440" s="87">
        <v>22492.9</v>
      </c>
      <c r="Q440" s="87">
        <v>0</v>
      </c>
      <c r="R440" s="87">
        <f t="shared" si="198"/>
        <v>22450.2</v>
      </c>
      <c r="S440" s="87">
        <v>22450.2</v>
      </c>
      <c r="T440" s="87">
        <v>0</v>
      </c>
      <c r="U440" s="87">
        <f t="shared" si="199"/>
        <v>22496.2</v>
      </c>
      <c r="V440" s="87">
        <v>22496.2</v>
      </c>
      <c r="W440" s="87">
        <v>0</v>
      </c>
    </row>
    <row r="441" spans="1:23">
      <c r="A441" s="444"/>
      <c r="B441" s="441"/>
      <c r="C441" s="439"/>
      <c r="D441" s="448"/>
      <c r="E441" s="226" t="s">
        <v>98</v>
      </c>
      <c r="F441" s="226" t="s">
        <v>95</v>
      </c>
      <c r="G441" s="226" t="s">
        <v>380</v>
      </c>
      <c r="H441" s="250">
        <v>600</v>
      </c>
      <c r="I441" s="439"/>
      <c r="J441" s="441"/>
      <c r="K441" s="121"/>
      <c r="L441" s="90">
        <v>0</v>
      </c>
      <c r="M441" s="87">
        <v>0</v>
      </c>
      <c r="N441" s="87">
        <v>0</v>
      </c>
      <c r="O441" s="87">
        <f t="shared" si="200"/>
        <v>8781.4</v>
      </c>
      <c r="P441" s="87">
        <v>8781.4</v>
      </c>
      <c r="Q441" s="87">
        <v>0</v>
      </c>
      <c r="R441" s="87">
        <f t="shared" si="198"/>
        <v>8700.1</v>
      </c>
      <c r="S441" s="87">
        <v>8700.1</v>
      </c>
      <c r="T441" s="87">
        <v>0</v>
      </c>
      <c r="U441" s="87">
        <f t="shared" si="199"/>
        <v>8787.7000000000007</v>
      </c>
      <c r="V441" s="87">
        <v>8787.7000000000007</v>
      </c>
      <c r="W441" s="87">
        <v>0</v>
      </c>
    </row>
    <row r="442" spans="1:23">
      <c r="A442" s="444"/>
      <c r="B442" s="441"/>
      <c r="C442" s="439"/>
      <c r="D442" s="448"/>
      <c r="E442" s="226" t="s">
        <v>98</v>
      </c>
      <c r="F442" s="226" t="s">
        <v>95</v>
      </c>
      <c r="G442" s="226" t="s">
        <v>94</v>
      </c>
      <c r="H442" s="250">
        <v>600</v>
      </c>
      <c r="I442" s="439"/>
      <c r="J442" s="441"/>
      <c r="K442" s="121"/>
      <c r="L442" s="90">
        <v>0</v>
      </c>
      <c r="M442" s="87">
        <v>200</v>
      </c>
      <c r="N442" s="87">
        <v>0</v>
      </c>
      <c r="O442" s="87">
        <f t="shared" si="200"/>
        <v>0</v>
      </c>
      <c r="P442" s="87">
        <v>0</v>
      </c>
      <c r="Q442" s="87">
        <v>0</v>
      </c>
      <c r="R442" s="87">
        <f t="shared" si="198"/>
        <v>0</v>
      </c>
      <c r="S442" s="87">
        <v>0</v>
      </c>
      <c r="T442" s="87">
        <v>0</v>
      </c>
      <c r="U442" s="87">
        <f t="shared" si="199"/>
        <v>0</v>
      </c>
      <c r="V442" s="87">
        <v>0</v>
      </c>
      <c r="W442" s="87">
        <v>0</v>
      </c>
    </row>
    <row r="443" spans="1:23">
      <c r="A443" s="444"/>
      <c r="B443" s="441"/>
      <c r="C443" s="439"/>
      <c r="D443" s="448"/>
      <c r="E443" s="226" t="s">
        <v>98</v>
      </c>
      <c r="F443" s="226" t="s">
        <v>98</v>
      </c>
      <c r="G443" s="226" t="s">
        <v>1295</v>
      </c>
      <c r="H443" s="250">
        <v>600</v>
      </c>
      <c r="I443" s="439"/>
      <c r="J443" s="441"/>
      <c r="K443" s="121"/>
      <c r="L443" s="90">
        <v>0</v>
      </c>
      <c r="M443" s="87">
        <v>95000</v>
      </c>
      <c r="N443" s="87">
        <v>95000</v>
      </c>
      <c r="O443" s="87">
        <f t="shared" si="200"/>
        <v>0</v>
      </c>
      <c r="P443" s="87">
        <v>0</v>
      </c>
      <c r="Q443" s="87">
        <v>0</v>
      </c>
      <c r="R443" s="87">
        <f t="shared" si="198"/>
        <v>0</v>
      </c>
      <c r="S443" s="87">
        <v>0</v>
      </c>
      <c r="T443" s="87">
        <v>0</v>
      </c>
      <c r="U443" s="87">
        <f t="shared" si="199"/>
        <v>0</v>
      </c>
      <c r="V443" s="87">
        <v>0</v>
      </c>
      <c r="W443" s="87">
        <v>0</v>
      </c>
    </row>
    <row r="444" spans="1:23" ht="131.25">
      <c r="A444" s="222" t="s">
        <v>459</v>
      </c>
      <c r="B444" s="224" t="s">
        <v>381</v>
      </c>
      <c r="C444" s="439"/>
      <c r="D444" s="226" t="s">
        <v>454</v>
      </c>
      <c r="E444" s="226" t="s">
        <v>98</v>
      </c>
      <c r="F444" s="226" t="s">
        <v>95</v>
      </c>
      <c r="G444" s="226" t="s">
        <v>192</v>
      </c>
      <c r="H444" s="250">
        <v>600</v>
      </c>
      <c r="I444" s="160" t="s">
        <v>1184</v>
      </c>
      <c r="J444" s="160" t="s">
        <v>1296</v>
      </c>
      <c r="K444" s="121"/>
      <c r="L444" s="90">
        <v>50</v>
      </c>
      <c r="M444" s="347">
        <v>171.4</v>
      </c>
      <c r="N444" s="87">
        <v>0</v>
      </c>
      <c r="O444" s="87">
        <f t="shared" si="200"/>
        <v>0</v>
      </c>
      <c r="P444" s="87">
        <v>0</v>
      </c>
      <c r="Q444" s="87">
        <v>0</v>
      </c>
      <c r="R444" s="87">
        <f t="shared" si="198"/>
        <v>0</v>
      </c>
      <c r="S444" s="87">
        <v>0</v>
      </c>
      <c r="T444" s="87">
        <v>0</v>
      </c>
      <c r="U444" s="87">
        <f t="shared" si="199"/>
        <v>0</v>
      </c>
      <c r="V444" s="87">
        <v>0</v>
      </c>
      <c r="W444" s="87">
        <v>0</v>
      </c>
    </row>
    <row r="445" spans="1:23" ht="75">
      <c r="A445" s="222" t="s">
        <v>496</v>
      </c>
      <c r="B445" s="224" t="s">
        <v>1297</v>
      </c>
      <c r="C445" s="121"/>
      <c r="D445" s="226" t="s">
        <v>1021</v>
      </c>
      <c r="E445" s="226" t="s">
        <v>93</v>
      </c>
      <c r="F445" s="226" t="s">
        <v>97</v>
      </c>
      <c r="G445" s="226" t="s">
        <v>124</v>
      </c>
      <c r="H445" s="250">
        <v>600</v>
      </c>
      <c r="I445" s="160" t="s">
        <v>1185</v>
      </c>
      <c r="J445" s="160" t="s">
        <v>1186</v>
      </c>
      <c r="K445" s="121"/>
      <c r="L445" s="90">
        <v>0</v>
      </c>
      <c r="M445" s="87">
        <v>309.7</v>
      </c>
      <c r="N445" s="87">
        <v>0</v>
      </c>
      <c r="O445" s="87">
        <f t="shared" si="200"/>
        <v>0</v>
      </c>
      <c r="P445" s="87">
        <v>0</v>
      </c>
      <c r="Q445" s="87">
        <v>0</v>
      </c>
      <c r="R445" s="87">
        <f t="shared" si="198"/>
        <v>0</v>
      </c>
      <c r="S445" s="87">
        <v>0</v>
      </c>
      <c r="T445" s="87">
        <v>0</v>
      </c>
      <c r="U445" s="87">
        <f t="shared" si="199"/>
        <v>0</v>
      </c>
      <c r="V445" s="87">
        <v>0</v>
      </c>
      <c r="W445" s="87">
        <v>0</v>
      </c>
    </row>
    <row r="446" spans="1:23" ht="150">
      <c r="A446" s="222" t="s">
        <v>1298</v>
      </c>
      <c r="B446" s="224" t="s">
        <v>1146</v>
      </c>
      <c r="C446" s="121"/>
      <c r="D446" s="226" t="s">
        <v>1147</v>
      </c>
      <c r="E446" s="226" t="s">
        <v>92</v>
      </c>
      <c r="F446" s="226" t="s">
        <v>83</v>
      </c>
      <c r="G446" s="226" t="s">
        <v>94</v>
      </c>
      <c r="H446" s="250">
        <v>600</v>
      </c>
      <c r="I446" s="160" t="s">
        <v>1299</v>
      </c>
      <c r="J446" s="160" t="s">
        <v>1300</v>
      </c>
      <c r="K446" s="121"/>
      <c r="L446" s="87">
        <v>0</v>
      </c>
      <c r="M446" s="87">
        <v>0</v>
      </c>
      <c r="N446" s="87">
        <v>0</v>
      </c>
      <c r="O446" s="87">
        <f t="shared" si="200"/>
        <v>343.4</v>
      </c>
      <c r="P446" s="87">
        <v>343.4</v>
      </c>
      <c r="Q446" s="87">
        <v>0</v>
      </c>
      <c r="R446" s="87">
        <f t="shared" si="198"/>
        <v>340.2</v>
      </c>
      <c r="S446" s="87">
        <v>340.2</v>
      </c>
      <c r="T446" s="87">
        <v>0</v>
      </c>
      <c r="U446" s="87">
        <f t="shared" si="199"/>
        <v>343.6</v>
      </c>
      <c r="V446" s="87">
        <v>343.6</v>
      </c>
      <c r="W446" s="87">
        <v>0</v>
      </c>
    </row>
    <row r="447" spans="1:23">
      <c r="A447" s="630" t="s">
        <v>19</v>
      </c>
      <c r="B447" s="421" t="s">
        <v>211</v>
      </c>
      <c r="C447" s="421"/>
      <c r="D447" s="421"/>
      <c r="E447" s="421"/>
      <c r="F447" s="421"/>
      <c r="G447" s="421"/>
      <c r="H447" s="421"/>
      <c r="I447" s="421"/>
      <c r="J447" s="421"/>
      <c r="K447" s="421"/>
      <c r="L447" s="666">
        <f>SUM(L448:L467)</f>
        <v>77249.399999999994</v>
      </c>
      <c r="M447" s="666">
        <f>SUM(M448:M465)</f>
        <v>78857.7</v>
      </c>
      <c r="N447" s="666">
        <f>SUM(N448:N465)</f>
        <v>45528.299999999996</v>
      </c>
      <c r="O447" s="666">
        <f t="shared" ref="O447:W447" si="201">SUM(O448:O467)</f>
        <v>89954.7</v>
      </c>
      <c r="P447" s="666">
        <f t="shared" si="201"/>
        <v>89954.7</v>
      </c>
      <c r="Q447" s="666">
        <f t="shared" si="201"/>
        <v>0</v>
      </c>
      <c r="R447" s="666">
        <f t="shared" si="201"/>
        <v>89102.9</v>
      </c>
      <c r="S447" s="666">
        <f t="shared" si="201"/>
        <v>89102.9</v>
      </c>
      <c r="T447" s="666">
        <f t="shared" si="201"/>
        <v>0</v>
      </c>
      <c r="U447" s="666">
        <f t="shared" si="201"/>
        <v>90021.099999999991</v>
      </c>
      <c r="V447" s="666">
        <f t="shared" si="201"/>
        <v>90021.099999999991</v>
      </c>
      <c r="W447" s="666">
        <f t="shared" si="201"/>
        <v>0</v>
      </c>
    </row>
    <row r="448" spans="1:23" ht="93.75">
      <c r="A448" s="403" t="s">
        <v>25</v>
      </c>
      <c r="B448" s="427" t="s">
        <v>1297</v>
      </c>
      <c r="C448" s="435"/>
      <c r="D448" s="435" t="s">
        <v>1021</v>
      </c>
      <c r="E448" s="226" t="s">
        <v>98</v>
      </c>
      <c r="F448" s="226" t="s">
        <v>92</v>
      </c>
      <c r="G448" s="250">
        <v>1710421050</v>
      </c>
      <c r="H448" s="250">
        <v>800</v>
      </c>
      <c r="I448" s="160" t="s">
        <v>1185</v>
      </c>
      <c r="J448" s="160" t="s">
        <v>1301</v>
      </c>
      <c r="K448" s="41"/>
      <c r="L448" s="90">
        <v>0</v>
      </c>
      <c r="M448" s="87">
        <v>310.10000000000002</v>
      </c>
      <c r="N448" s="87">
        <v>310.10000000000002</v>
      </c>
      <c r="O448" s="90">
        <f t="shared" ref="O448:O466" si="202">P448+Q448</f>
        <v>0</v>
      </c>
      <c r="P448" s="87">
        <v>0</v>
      </c>
      <c r="Q448" s="90">
        <v>0</v>
      </c>
      <c r="R448" s="90">
        <f t="shared" ref="R448:R467" si="203">S448+T448</f>
        <v>0</v>
      </c>
      <c r="S448" s="87">
        <v>0</v>
      </c>
      <c r="T448" s="90">
        <v>0</v>
      </c>
      <c r="U448" s="90">
        <f t="shared" ref="U448:U467" si="204">V448+W448</f>
        <v>0</v>
      </c>
      <c r="V448" s="87">
        <v>0</v>
      </c>
      <c r="W448" s="90">
        <v>0</v>
      </c>
    </row>
    <row r="449" spans="1:23" ht="112.5">
      <c r="A449" s="403"/>
      <c r="B449" s="441"/>
      <c r="C449" s="437"/>
      <c r="D449" s="437"/>
      <c r="E449" s="226" t="s">
        <v>98</v>
      </c>
      <c r="F449" s="226" t="s">
        <v>143</v>
      </c>
      <c r="G449" s="226" t="s">
        <v>953</v>
      </c>
      <c r="H449" s="250">
        <v>800</v>
      </c>
      <c r="I449" s="160" t="s">
        <v>1302</v>
      </c>
      <c r="J449" s="160" t="s">
        <v>1303</v>
      </c>
      <c r="K449" s="41"/>
      <c r="L449" s="87">
        <v>13000</v>
      </c>
      <c r="M449" s="87">
        <v>0</v>
      </c>
      <c r="N449" s="87">
        <v>0</v>
      </c>
      <c r="O449" s="87">
        <f t="shared" si="202"/>
        <v>0</v>
      </c>
      <c r="P449" s="87">
        <v>0</v>
      </c>
      <c r="Q449" s="87">
        <v>0</v>
      </c>
      <c r="R449" s="87">
        <f t="shared" si="203"/>
        <v>0</v>
      </c>
      <c r="S449" s="87">
        <v>0</v>
      </c>
      <c r="T449" s="87">
        <v>0</v>
      </c>
      <c r="U449" s="87">
        <f t="shared" si="204"/>
        <v>0</v>
      </c>
      <c r="V449" s="87">
        <v>0</v>
      </c>
      <c r="W449" s="87">
        <v>0</v>
      </c>
    </row>
    <row r="450" spans="1:23">
      <c r="A450" s="443" t="s">
        <v>275</v>
      </c>
      <c r="B450" s="440" t="s">
        <v>1187</v>
      </c>
      <c r="C450" s="435"/>
      <c r="D450" s="435" t="s">
        <v>358</v>
      </c>
      <c r="E450" s="226" t="s">
        <v>98</v>
      </c>
      <c r="F450" s="226" t="s">
        <v>92</v>
      </c>
      <c r="G450" s="226" t="s">
        <v>1188</v>
      </c>
      <c r="H450" s="250">
        <v>800</v>
      </c>
      <c r="I450" s="440" t="s">
        <v>1304</v>
      </c>
      <c r="J450" s="440" t="s">
        <v>1305</v>
      </c>
      <c r="K450" s="41"/>
      <c r="L450" s="87">
        <v>73.3</v>
      </c>
      <c r="M450" s="87">
        <v>75.400000000000006</v>
      </c>
      <c r="N450" s="87">
        <v>59.3</v>
      </c>
      <c r="O450" s="87">
        <f t="shared" si="202"/>
        <v>290</v>
      </c>
      <c r="P450" s="87">
        <v>290</v>
      </c>
      <c r="Q450" s="87">
        <v>0</v>
      </c>
      <c r="R450" s="87">
        <f t="shared" si="203"/>
        <v>268.8</v>
      </c>
      <c r="S450" s="87">
        <v>268.8</v>
      </c>
      <c r="T450" s="87">
        <v>0</v>
      </c>
      <c r="U450" s="87">
        <f t="shared" si="204"/>
        <v>291.7</v>
      </c>
      <c r="V450" s="87">
        <v>291.7</v>
      </c>
      <c r="W450" s="87">
        <v>0</v>
      </c>
    </row>
    <row r="451" spans="1:23">
      <c r="A451" s="444"/>
      <c r="B451" s="440"/>
      <c r="C451" s="435"/>
      <c r="D451" s="435"/>
      <c r="E451" s="226" t="s">
        <v>98</v>
      </c>
      <c r="F451" s="226" t="s">
        <v>92</v>
      </c>
      <c r="G451" s="226" t="s">
        <v>1189</v>
      </c>
      <c r="H451" s="250">
        <v>800</v>
      </c>
      <c r="I451" s="439"/>
      <c r="J451" s="440"/>
      <c r="K451" s="41"/>
      <c r="L451" s="87">
        <v>0</v>
      </c>
      <c r="M451" s="87">
        <v>159.69999999999999</v>
      </c>
      <c r="N451" s="87">
        <v>0</v>
      </c>
      <c r="O451" s="87">
        <f t="shared" si="202"/>
        <v>143.30000000000001</v>
      </c>
      <c r="P451" s="87">
        <v>143.30000000000001</v>
      </c>
      <c r="Q451" s="87">
        <v>0</v>
      </c>
      <c r="R451" s="87">
        <f t="shared" si="203"/>
        <v>142</v>
      </c>
      <c r="S451" s="87">
        <v>142</v>
      </c>
      <c r="T451" s="87">
        <v>0</v>
      </c>
      <c r="U451" s="87">
        <f t="shared" si="204"/>
        <v>143.4</v>
      </c>
      <c r="V451" s="87">
        <v>143.4</v>
      </c>
      <c r="W451" s="87">
        <v>0</v>
      </c>
    </row>
    <row r="452" spans="1:23">
      <c r="A452" s="444"/>
      <c r="B452" s="440"/>
      <c r="C452" s="435"/>
      <c r="D452" s="435"/>
      <c r="E452" s="226" t="s">
        <v>98</v>
      </c>
      <c r="F452" s="226" t="s">
        <v>92</v>
      </c>
      <c r="G452" s="226" t="s">
        <v>1190</v>
      </c>
      <c r="H452" s="250">
        <v>800</v>
      </c>
      <c r="I452" s="439"/>
      <c r="J452" s="440"/>
      <c r="K452" s="41"/>
      <c r="L452" s="87">
        <v>1573.1</v>
      </c>
      <c r="M452" s="87">
        <v>2275.6</v>
      </c>
      <c r="N452" s="87">
        <v>1377.2</v>
      </c>
      <c r="O452" s="87">
        <f t="shared" si="202"/>
        <v>2193.4</v>
      </c>
      <c r="P452" s="87">
        <v>2193.4</v>
      </c>
      <c r="Q452" s="87">
        <v>0</v>
      </c>
      <c r="R452" s="87">
        <f t="shared" si="203"/>
        <v>2173.1</v>
      </c>
      <c r="S452" s="87">
        <v>2173.1</v>
      </c>
      <c r="T452" s="87">
        <v>0</v>
      </c>
      <c r="U452" s="87">
        <f t="shared" si="204"/>
        <v>2195</v>
      </c>
      <c r="V452" s="87">
        <v>2195</v>
      </c>
      <c r="W452" s="87">
        <v>0</v>
      </c>
    </row>
    <row r="453" spans="1:23">
      <c r="A453" s="444"/>
      <c r="B453" s="440"/>
      <c r="C453" s="435"/>
      <c r="D453" s="435"/>
      <c r="E453" s="226" t="s">
        <v>98</v>
      </c>
      <c r="F453" s="226" t="s">
        <v>92</v>
      </c>
      <c r="G453" s="226" t="s">
        <v>1191</v>
      </c>
      <c r="H453" s="250">
        <v>800</v>
      </c>
      <c r="I453" s="439"/>
      <c r="J453" s="440"/>
      <c r="K453" s="41"/>
      <c r="L453" s="87">
        <v>10679.6</v>
      </c>
      <c r="M453" s="87">
        <v>11970.7</v>
      </c>
      <c r="N453" s="87">
        <v>5477.6</v>
      </c>
      <c r="O453" s="87">
        <f t="shared" si="202"/>
        <v>14122.4</v>
      </c>
      <c r="P453" s="87">
        <v>14122.4</v>
      </c>
      <c r="Q453" s="87">
        <v>0</v>
      </c>
      <c r="R453" s="87">
        <f t="shared" si="203"/>
        <v>13991.6</v>
      </c>
      <c r="S453" s="87">
        <v>13991.6</v>
      </c>
      <c r="T453" s="87">
        <v>0</v>
      </c>
      <c r="U453" s="87">
        <f t="shared" si="204"/>
        <v>14132.6</v>
      </c>
      <c r="V453" s="87">
        <v>14132.6</v>
      </c>
      <c r="W453" s="87">
        <v>0</v>
      </c>
    </row>
    <row r="454" spans="1:23">
      <c r="A454" s="444"/>
      <c r="B454" s="440"/>
      <c r="C454" s="435"/>
      <c r="D454" s="435"/>
      <c r="E454" s="226" t="s">
        <v>98</v>
      </c>
      <c r="F454" s="226" t="s">
        <v>92</v>
      </c>
      <c r="G454" s="226" t="s">
        <v>1192</v>
      </c>
      <c r="H454" s="250">
        <v>800</v>
      </c>
      <c r="I454" s="439"/>
      <c r="J454" s="440"/>
      <c r="K454" s="41"/>
      <c r="L454" s="87">
        <v>59.4</v>
      </c>
      <c r="M454" s="87">
        <v>43</v>
      </c>
      <c r="N454" s="87">
        <v>11.6</v>
      </c>
      <c r="O454" s="87">
        <f t="shared" si="202"/>
        <v>0</v>
      </c>
      <c r="P454" s="87">
        <v>0</v>
      </c>
      <c r="Q454" s="87">
        <v>0</v>
      </c>
      <c r="R454" s="87">
        <f t="shared" si="203"/>
        <v>0</v>
      </c>
      <c r="S454" s="87">
        <v>0</v>
      </c>
      <c r="T454" s="87">
        <v>0</v>
      </c>
      <c r="U454" s="87">
        <f t="shared" si="204"/>
        <v>0</v>
      </c>
      <c r="V454" s="87">
        <v>0</v>
      </c>
      <c r="W454" s="87">
        <v>0</v>
      </c>
    </row>
    <row r="455" spans="1:23">
      <c r="A455" s="444"/>
      <c r="B455" s="440"/>
      <c r="C455" s="435"/>
      <c r="D455" s="435"/>
      <c r="E455" s="226" t="s">
        <v>98</v>
      </c>
      <c r="F455" s="226" t="s">
        <v>92</v>
      </c>
      <c r="G455" s="226" t="s">
        <v>94</v>
      </c>
      <c r="H455" s="250">
        <v>800</v>
      </c>
      <c r="I455" s="439"/>
      <c r="J455" s="440"/>
      <c r="K455" s="41"/>
      <c r="L455" s="87">
        <v>450</v>
      </c>
      <c r="M455" s="87">
        <v>0</v>
      </c>
      <c r="N455" s="87">
        <v>0</v>
      </c>
      <c r="O455" s="87">
        <f t="shared" si="202"/>
        <v>0</v>
      </c>
      <c r="P455" s="87">
        <v>0</v>
      </c>
      <c r="Q455" s="87">
        <v>0</v>
      </c>
      <c r="R455" s="87">
        <f t="shared" si="203"/>
        <v>0</v>
      </c>
      <c r="S455" s="87">
        <v>0</v>
      </c>
      <c r="T455" s="87">
        <v>0</v>
      </c>
      <c r="U455" s="87">
        <f t="shared" si="204"/>
        <v>0</v>
      </c>
      <c r="V455" s="87">
        <v>0</v>
      </c>
      <c r="W455" s="87">
        <v>0</v>
      </c>
    </row>
    <row r="456" spans="1:23">
      <c r="A456" s="444"/>
      <c r="B456" s="440"/>
      <c r="C456" s="435"/>
      <c r="D456" s="435"/>
      <c r="E456" s="226" t="s">
        <v>98</v>
      </c>
      <c r="F456" s="226" t="s">
        <v>92</v>
      </c>
      <c r="G456" s="226" t="s">
        <v>495</v>
      </c>
      <c r="H456" s="250">
        <v>800</v>
      </c>
      <c r="I456" s="439"/>
      <c r="J456" s="440"/>
      <c r="K456" s="41"/>
      <c r="L456" s="87">
        <v>0</v>
      </c>
      <c r="M456" s="87">
        <v>161</v>
      </c>
      <c r="N456" s="87">
        <v>0</v>
      </c>
      <c r="O456" s="87">
        <f t="shared" si="202"/>
        <v>0</v>
      </c>
      <c r="P456" s="87">
        <v>0</v>
      </c>
      <c r="Q456" s="87">
        <v>0</v>
      </c>
      <c r="R456" s="87">
        <f t="shared" si="203"/>
        <v>0</v>
      </c>
      <c r="S456" s="87">
        <v>0</v>
      </c>
      <c r="T456" s="87">
        <v>0</v>
      </c>
      <c r="U456" s="87">
        <f t="shared" si="204"/>
        <v>0</v>
      </c>
      <c r="V456" s="87">
        <v>0</v>
      </c>
      <c r="W456" s="87">
        <v>0</v>
      </c>
    </row>
    <row r="457" spans="1:23">
      <c r="A457" s="444"/>
      <c r="B457" s="440"/>
      <c r="C457" s="435"/>
      <c r="D457" s="435"/>
      <c r="E457" s="226" t="s">
        <v>98</v>
      </c>
      <c r="F457" s="226" t="s">
        <v>92</v>
      </c>
      <c r="G457" s="226" t="s">
        <v>1193</v>
      </c>
      <c r="H457" s="250">
        <v>800</v>
      </c>
      <c r="I457" s="439"/>
      <c r="J457" s="440"/>
      <c r="K457" s="41"/>
      <c r="L457" s="87">
        <v>3875.3</v>
      </c>
      <c r="M457" s="87">
        <v>4105</v>
      </c>
      <c r="N457" s="87">
        <v>2648.5</v>
      </c>
      <c r="O457" s="87">
        <f t="shared" si="202"/>
        <v>4311.7</v>
      </c>
      <c r="P457" s="87">
        <v>4311.7</v>
      </c>
      <c r="Q457" s="87">
        <v>0</v>
      </c>
      <c r="R457" s="87">
        <f t="shared" si="203"/>
        <v>4271.8</v>
      </c>
      <c r="S457" s="87">
        <v>4271.8</v>
      </c>
      <c r="T457" s="87">
        <v>0</v>
      </c>
      <c r="U457" s="87">
        <f t="shared" si="204"/>
        <v>4314.8</v>
      </c>
      <c r="V457" s="87">
        <v>4314.8</v>
      </c>
      <c r="W457" s="87">
        <v>0</v>
      </c>
    </row>
    <row r="458" spans="1:23">
      <c r="A458" s="443" t="s">
        <v>59</v>
      </c>
      <c r="B458" s="440" t="s">
        <v>1140</v>
      </c>
      <c r="C458" s="435"/>
      <c r="D458" s="435" t="s">
        <v>1141</v>
      </c>
      <c r="E458" s="226" t="s">
        <v>98</v>
      </c>
      <c r="F458" s="226" t="s">
        <v>143</v>
      </c>
      <c r="G458" s="226" t="s">
        <v>1194</v>
      </c>
      <c r="H458" s="250">
        <v>800</v>
      </c>
      <c r="I458" s="440" t="s">
        <v>1306</v>
      </c>
      <c r="J458" s="440" t="s">
        <v>1307</v>
      </c>
      <c r="K458" s="41"/>
      <c r="L458" s="87">
        <v>327</v>
      </c>
      <c r="M458" s="87">
        <v>400</v>
      </c>
      <c r="N458" s="87">
        <v>52.1</v>
      </c>
      <c r="O458" s="87">
        <f t="shared" si="202"/>
        <v>782.2</v>
      </c>
      <c r="P458" s="87">
        <v>782.2</v>
      </c>
      <c r="Q458" s="87">
        <v>0</v>
      </c>
      <c r="R458" s="87">
        <f t="shared" si="203"/>
        <v>775</v>
      </c>
      <c r="S458" s="87">
        <v>775</v>
      </c>
      <c r="T458" s="87">
        <v>0</v>
      </c>
      <c r="U458" s="87">
        <f t="shared" si="204"/>
        <v>782.8</v>
      </c>
      <c r="V458" s="87">
        <v>782.8</v>
      </c>
      <c r="W458" s="87">
        <v>0</v>
      </c>
    </row>
    <row r="459" spans="1:23">
      <c r="A459" s="443"/>
      <c r="B459" s="440"/>
      <c r="C459" s="435"/>
      <c r="D459" s="435"/>
      <c r="E459" s="226" t="s">
        <v>98</v>
      </c>
      <c r="F459" s="226" t="s">
        <v>143</v>
      </c>
      <c r="G459" s="226" t="s">
        <v>1195</v>
      </c>
      <c r="H459" s="250">
        <v>800</v>
      </c>
      <c r="I459" s="439"/>
      <c r="J459" s="441"/>
      <c r="K459" s="41"/>
      <c r="L459" s="87">
        <v>6889.5</v>
      </c>
      <c r="M459" s="87">
        <v>6521.7</v>
      </c>
      <c r="N459" s="87">
        <v>4001.4</v>
      </c>
      <c r="O459" s="87">
        <f t="shared" si="202"/>
        <v>5726.9</v>
      </c>
      <c r="P459" s="87">
        <v>5726.9</v>
      </c>
      <c r="Q459" s="87">
        <v>0</v>
      </c>
      <c r="R459" s="87">
        <f t="shared" si="203"/>
        <v>5673.8</v>
      </c>
      <c r="S459" s="87">
        <v>5673.8</v>
      </c>
      <c r="T459" s="87">
        <v>0</v>
      </c>
      <c r="U459" s="87">
        <f t="shared" si="204"/>
        <v>5731</v>
      </c>
      <c r="V459" s="87">
        <v>5731</v>
      </c>
      <c r="W459" s="87">
        <v>0</v>
      </c>
    </row>
    <row r="460" spans="1:23">
      <c r="A460" s="444"/>
      <c r="B460" s="440"/>
      <c r="C460" s="435"/>
      <c r="D460" s="435"/>
      <c r="E460" s="226" t="s">
        <v>98</v>
      </c>
      <c r="F460" s="226" t="s">
        <v>143</v>
      </c>
      <c r="G460" s="226" t="s">
        <v>1196</v>
      </c>
      <c r="H460" s="250">
        <v>800</v>
      </c>
      <c r="I460" s="439"/>
      <c r="J460" s="441"/>
      <c r="K460" s="41"/>
      <c r="L460" s="87">
        <v>14150.6</v>
      </c>
      <c r="M460" s="87">
        <v>16861.099999999999</v>
      </c>
      <c r="N460" s="87">
        <v>9760.7000000000007</v>
      </c>
      <c r="O460" s="87">
        <f t="shared" si="202"/>
        <v>20700.8</v>
      </c>
      <c r="P460" s="87">
        <v>20700.8</v>
      </c>
      <c r="Q460" s="87">
        <v>0</v>
      </c>
      <c r="R460" s="87">
        <f t="shared" si="203"/>
        <v>20509</v>
      </c>
      <c r="S460" s="87">
        <v>20509</v>
      </c>
      <c r="T460" s="87">
        <v>0</v>
      </c>
      <c r="U460" s="87">
        <f t="shared" si="204"/>
        <v>20715.7</v>
      </c>
      <c r="V460" s="87">
        <v>20715.7</v>
      </c>
      <c r="W460" s="87">
        <v>0</v>
      </c>
    </row>
    <row r="461" spans="1:23">
      <c r="A461" s="444"/>
      <c r="B461" s="440"/>
      <c r="C461" s="435"/>
      <c r="D461" s="435"/>
      <c r="E461" s="226" t="s">
        <v>98</v>
      </c>
      <c r="F461" s="226" t="s">
        <v>143</v>
      </c>
      <c r="G461" s="226" t="s">
        <v>1197</v>
      </c>
      <c r="H461" s="250">
        <v>800</v>
      </c>
      <c r="I461" s="439"/>
      <c r="J461" s="441"/>
      <c r="K461" s="174"/>
      <c r="L461" s="87">
        <v>22794.3</v>
      </c>
      <c r="M461" s="87">
        <v>31024</v>
      </c>
      <c r="N461" s="87">
        <v>20047.599999999999</v>
      </c>
      <c r="O461" s="87">
        <f t="shared" si="202"/>
        <v>34957.9</v>
      </c>
      <c r="P461" s="87">
        <v>34957.9</v>
      </c>
      <c r="Q461" s="87">
        <v>0</v>
      </c>
      <c r="R461" s="87">
        <f t="shared" si="203"/>
        <v>34634.1</v>
      </c>
      <c r="S461" s="87">
        <v>34634.1</v>
      </c>
      <c r="T461" s="87">
        <v>0</v>
      </c>
      <c r="U461" s="87">
        <f t="shared" si="204"/>
        <v>34983.1</v>
      </c>
      <c r="V461" s="87">
        <v>34983.1</v>
      </c>
      <c r="W461" s="87">
        <v>0</v>
      </c>
    </row>
    <row r="462" spans="1:23">
      <c r="A462" s="444"/>
      <c r="B462" s="440"/>
      <c r="C462" s="435"/>
      <c r="D462" s="435"/>
      <c r="E462" s="226" t="s">
        <v>98</v>
      </c>
      <c r="F462" s="226" t="s">
        <v>143</v>
      </c>
      <c r="G462" s="226" t="s">
        <v>1198</v>
      </c>
      <c r="H462" s="250">
        <v>800</v>
      </c>
      <c r="I462" s="439"/>
      <c r="J462" s="441"/>
      <c r="K462" s="41"/>
      <c r="L462" s="87">
        <v>2309.8000000000002</v>
      </c>
      <c r="M462" s="87">
        <v>4117.8999999999996</v>
      </c>
      <c r="N462" s="87">
        <v>1739.5</v>
      </c>
      <c r="O462" s="87">
        <f t="shared" si="202"/>
        <v>6180.2</v>
      </c>
      <c r="P462" s="87">
        <v>6180.2</v>
      </c>
      <c r="Q462" s="87">
        <v>0</v>
      </c>
      <c r="R462" s="87">
        <f t="shared" si="203"/>
        <v>6122.9</v>
      </c>
      <c r="S462" s="87">
        <v>6122.9</v>
      </c>
      <c r="T462" s="87">
        <v>0</v>
      </c>
      <c r="U462" s="87">
        <f t="shared" si="204"/>
        <v>6184.7</v>
      </c>
      <c r="V462" s="87">
        <v>6184.7</v>
      </c>
      <c r="W462" s="87">
        <v>0</v>
      </c>
    </row>
    <row r="463" spans="1:23">
      <c r="A463" s="444"/>
      <c r="B463" s="440"/>
      <c r="C463" s="435"/>
      <c r="D463" s="435"/>
      <c r="E463" s="226" t="s">
        <v>98</v>
      </c>
      <c r="F463" s="226" t="s">
        <v>143</v>
      </c>
      <c r="G463" s="226" t="s">
        <v>1199</v>
      </c>
      <c r="H463" s="250">
        <v>800</v>
      </c>
      <c r="I463" s="439"/>
      <c r="J463" s="441"/>
      <c r="K463" s="41"/>
      <c r="L463" s="87">
        <v>1067.5</v>
      </c>
      <c r="M463" s="87">
        <v>339.8</v>
      </c>
      <c r="N463" s="87">
        <v>0</v>
      </c>
      <c r="O463" s="87">
        <f t="shared" si="202"/>
        <v>405.4</v>
      </c>
      <c r="P463" s="87">
        <v>405.4</v>
      </c>
      <c r="Q463" s="87">
        <v>0</v>
      </c>
      <c r="R463" s="87">
        <f t="shared" si="203"/>
        <v>401.6</v>
      </c>
      <c r="S463" s="87">
        <v>401.6</v>
      </c>
      <c r="T463" s="87">
        <v>0</v>
      </c>
      <c r="U463" s="87">
        <f t="shared" si="204"/>
        <v>405.7</v>
      </c>
      <c r="V463" s="87">
        <v>405.7</v>
      </c>
      <c r="W463" s="87">
        <v>0</v>
      </c>
    </row>
    <row r="464" spans="1:23">
      <c r="A464" s="403" t="s">
        <v>60</v>
      </c>
      <c r="B464" s="413" t="s">
        <v>1146</v>
      </c>
      <c r="C464" s="436"/>
      <c r="D464" s="435" t="s">
        <v>1147</v>
      </c>
      <c r="E464" s="226" t="s">
        <v>98</v>
      </c>
      <c r="F464" s="226" t="s">
        <v>92</v>
      </c>
      <c r="G464" s="226" t="s">
        <v>94</v>
      </c>
      <c r="H464" s="250">
        <v>800</v>
      </c>
      <c r="I464" s="440" t="s">
        <v>1299</v>
      </c>
      <c r="J464" s="440" t="s">
        <v>1300</v>
      </c>
      <c r="K464" s="41"/>
      <c r="L464" s="87">
        <v>0</v>
      </c>
      <c r="M464" s="87">
        <v>450</v>
      </c>
      <c r="N464" s="87">
        <v>0</v>
      </c>
      <c r="O464" s="87">
        <f t="shared" si="202"/>
        <v>0</v>
      </c>
      <c r="P464" s="87">
        <v>0</v>
      </c>
      <c r="Q464" s="87">
        <v>0</v>
      </c>
      <c r="R464" s="87">
        <f t="shared" si="203"/>
        <v>0</v>
      </c>
      <c r="S464" s="87">
        <v>0</v>
      </c>
      <c r="T464" s="87">
        <v>0</v>
      </c>
      <c r="U464" s="87">
        <f t="shared" si="204"/>
        <v>0</v>
      </c>
      <c r="V464" s="87">
        <v>0</v>
      </c>
      <c r="W464" s="87">
        <v>0</v>
      </c>
    </row>
    <row r="465" spans="1:23">
      <c r="A465" s="445"/>
      <c r="B465" s="441"/>
      <c r="C465" s="436"/>
      <c r="D465" s="435"/>
      <c r="E465" s="226" t="s">
        <v>92</v>
      </c>
      <c r="F465" s="226" t="s">
        <v>83</v>
      </c>
      <c r="G465" s="226" t="s">
        <v>94</v>
      </c>
      <c r="H465" s="250">
        <v>800</v>
      </c>
      <c r="I465" s="441"/>
      <c r="J465" s="441"/>
      <c r="K465" s="41"/>
      <c r="L465" s="87">
        <v>0</v>
      </c>
      <c r="M465" s="87">
        <v>42.7</v>
      </c>
      <c r="N465" s="87">
        <v>42.7</v>
      </c>
      <c r="O465" s="87">
        <f t="shared" si="202"/>
        <v>0</v>
      </c>
      <c r="P465" s="87">
        <v>0</v>
      </c>
      <c r="Q465" s="87">
        <v>0</v>
      </c>
      <c r="R465" s="87">
        <f t="shared" si="203"/>
        <v>0</v>
      </c>
      <c r="S465" s="87">
        <v>0</v>
      </c>
      <c r="T465" s="87">
        <v>0</v>
      </c>
      <c r="U465" s="87">
        <f t="shared" si="204"/>
        <v>0</v>
      </c>
      <c r="V465" s="87">
        <v>0</v>
      </c>
      <c r="W465" s="87">
        <v>0</v>
      </c>
    </row>
    <row r="466" spans="1:23">
      <c r="A466" s="403" t="s">
        <v>52</v>
      </c>
      <c r="B466" s="413" t="s">
        <v>1308</v>
      </c>
      <c r="C466" s="436"/>
      <c r="D466" s="435" t="s">
        <v>561</v>
      </c>
      <c r="E466" s="226" t="s">
        <v>80</v>
      </c>
      <c r="F466" s="226" t="s">
        <v>144</v>
      </c>
      <c r="G466" s="226" t="s">
        <v>495</v>
      </c>
      <c r="H466" s="250">
        <v>800</v>
      </c>
      <c r="I466" s="438" t="s">
        <v>1309</v>
      </c>
      <c r="J466" s="440" t="s">
        <v>1310</v>
      </c>
      <c r="K466" s="41"/>
      <c r="L466" s="87">
        <v>0</v>
      </c>
      <c r="M466" s="87">
        <v>0</v>
      </c>
      <c r="N466" s="87">
        <v>0</v>
      </c>
      <c r="O466" s="87">
        <f t="shared" si="202"/>
        <v>96.6</v>
      </c>
      <c r="P466" s="87">
        <v>96.6</v>
      </c>
      <c r="Q466" s="87">
        <v>0</v>
      </c>
      <c r="R466" s="87">
        <f t="shared" si="203"/>
        <v>95.7</v>
      </c>
      <c r="S466" s="87">
        <v>95.7</v>
      </c>
      <c r="T466" s="87"/>
      <c r="U466" s="87">
        <f t="shared" si="204"/>
        <v>96.7</v>
      </c>
      <c r="V466" s="87">
        <v>96.7</v>
      </c>
      <c r="W466" s="87">
        <v>0</v>
      </c>
    </row>
    <row r="467" spans="1:23">
      <c r="A467" s="403"/>
      <c r="B467" s="413"/>
      <c r="C467" s="436"/>
      <c r="D467" s="437"/>
      <c r="E467" s="226" t="s">
        <v>80</v>
      </c>
      <c r="F467" s="226" t="s">
        <v>144</v>
      </c>
      <c r="G467" s="226" t="s">
        <v>1311</v>
      </c>
      <c r="H467" s="250">
        <v>800</v>
      </c>
      <c r="I467" s="439"/>
      <c r="J467" s="441"/>
      <c r="K467" s="41"/>
      <c r="L467" s="87">
        <v>0</v>
      </c>
      <c r="M467" s="87">
        <v>0</v>
      </c>
      <c r="N467" s="87">
        <v>0</v>
      </c>
      <c r="O467" s="87">
        <f>P467+Q467</f>
        <v>43.9</v>
      </c>
      <c r="P467" s="87">
        <v>43.9</v>
      </c>
      <c r="Q467" s="87"/>
      <c r="R467" s="87">
        <f t="shared" si="203"/>
        <v>43.5</v>
      </c>
      <c r="S467" s="87">
        <v>43.5</v>
      </c>
      <c r="T467" s="87"/>
      <c r="U467" s="87">
        <f t="shared" si="204"/>
        <v>43.9</v>
      </c>
      <c r="V467" s="87">
        <v>43.9</v>
      </c>
      <c r="W467" s="87"/>
    </row>
    <row r="468" spans="1:23" ht="56.25">
      <c r="A468" s="629" t="s">
        <v>145</v>
      </c>
      <c r="B468" s="180" t="s">
        <v>382</v>
      </c>
      <c r="C468" s="8"/>
      <c r="D468" s="644"/>
      <c r="E468" s="644"/>
      <c r="F468" s="644"/>
      <c r="G468" s="644"/>
      <c r="H468" s="644"/>
      <c r="I468" s="8"/>
      <c r="J468" s="8"/>
      <c r="K468" s="8" t="s">
        <v>62</v>
      </c>
      <c r="L468" s="19">
        <f>SUM(L469)</f>
        <v>357744.9</v>
      </c>
      <c r="M468" s="19">
        <f t="shared" ref="M468:W468" si="205">SUM(M469)</f>
        <v>356726.29999999993</v>
      </c>
      <c r="N468" s="19">
        <f t="shared" si="205"/>
        <v>226690.10000000003</v>
      </c>
      <c r="O468" s="19">
        <f t="shared" si="205"/>
        <v>413600.6</v>
      </c>
      <c r="P468" s="19">
        <f t="shared" si="205"/>
        <v>413600.6</v>
      </c>
      <c r="Q468" s="19">
        <f t="shared" si="205"/>
        <v>0</v>
      </c>
      <c r="R468" s="19">
        <f t="shared" si="205"/>
        <v>377828.20000000007</v>
      </c>
      <c r="S468" s="19">
        <f t="shared" si="205"/>
        <v>377828.20000000007</v>
      </c>
      <c r="T468" s="19">
        <f t="shared" si="205"/>
        <v>0</v>
      </c>
      <c r="U468" s="19">
        <f t="shared" si="205"/>
        <v>381633.19999999995</v>
      </c>
      <c r="V468" s="19">
        <f t="shared" si="205"/>
        <v>381633.19999999995</v>
      </c>
      <c r="W468" s="19">
        <f t="shared" si="205"/>
        <v>0</v>
      </c>
    </row>
    <row r="469" spans="1:23">
      <c r="A469" s="630" t="s">
        <v>9</v>
      </c>
      <c r="B469" s="421" t="s">
        <v>67</v>
      </c>
      <c r="C469" s="421"/>
      <c r="D469" s="421"/>
      <c r="E469" s="421"/>
      <c r="F469" s="421"/>
      <c r="G469" s="421"/>
      <c r="H469" s="421"/>
      <c r="I469" s="421"/>
      <c r="J469" s="421"/>
      <c r="K469" s="421"/>
      <c r="L469" s="20">
        <f>SUM(L470,L475,L488,L493)</f>
        <v>357744.9</v>
      </c>
      <c r="M469" s="20">
        <f t="shared" ref="M469:W469" si="206">SUM(M470,M475,M488,M493)</f>
        <v>356726.29999999993</v>
      </c>
      <c r="N469" s="20">
        <f t="shared" si="206"/>
        <v>226690.10000000003</v>
      </c>
      <c r="O469" s="20">
        <f t="shared" si="206"/>
        <v>413600.6</v>
      </c>
      <c r="P469" s="20">
        <f t="shared" si="206"/>
        <v>413600.6</v>
      </c>
      <c r="Q469" s="20">
        <f t="shared" si="206"/>
        <v>0</v>
      </c>
      <c r="R469" s="20">
        <f t="shared" si="206"/>
        <v>377828.20000000007</v>
      </c>
      <c r="S469" s="20">
        <f t="shared" si="206"/>
        <v>377828.20000000007</v>
      </c>
      <c r="T469" s="20">
        <f t="shared" si="206"/>
        <v>0</v>
      </c>
      <c r="U469" s="20">
        <f t="shared" si="206"/>
        <v>381633.19999999995</v>
      </c>
      <c r="V469" s="20">
        <f t="shared" si="206"/>
        <v>381633.19999999995</v>
      </c>
      <c r="W469" s="20">
        <f t="shared" si="206"/>
        <v>0</v>
      </c>
    </row>
    <row r="470" spans="1:23">
      <c r="A470" s="235" t="s">
        <v>57</v>
      </c>
      <c r="B470" s="229"/>
      <c r="C470" s="115"/>
      <c r="D470" s="383"/>
      <c r="E470" s="250"/>
      <c r="F470" s="250"/>
      <c r="G470" s="250"/>
      <c r="H470" s="250"/>
      <c r="I470" s="15"/>
      <c r="J470" s="115"/>
      <c r="K470" s="14"/>
      <c r="L470" s="22">
        <f t="shared" ref="L470:Q470" si="207">SUM(L471:L474)</f>
        <v>6427.3</v>
      </c>
      <c r="M470" s="22">
        <f t="shared" si="207"/>
        <v>6809</v>
      </c>
      <c r="N470" s="22">
        <f t="shared" si="207"/>
        <v>4005.3</v>
      </c>
      <c r="O470" s="22">
        <f t="shared" si="207"/>
        <v>7805.5</v>
      </c>
      <c r="P470" s="22">
        <f t="shared" si="207"/>
        <v>7805.5</v>
      </c>
      <c r="Q470" s="22">
        <f t="shared" si="207"/>
        <v>0</v>
      </c>
      <c r="R470" s="239">
        <f t="shared" ref="R470:R509" si="208">S470+T470</f>
        <v>7733.2000000000007</v>
      </c>
      <c r="S470" s="22">
        <f>SUM(S471:S474)</f>
        <v>7733.2000000000007</v>
      </c>
      <c r="T470" s="22">
        <f>SUM(T471:T474)</f>
        <v>0</v>
      </c>
      <c r="U470" s="22">
        <f>V470+W470</f>
        <v>7811.0999999999995</v>
      </c>
      <c r="V470" s="22">
        <f>SUM(V471:V474)</f>
        <v>7811.0999999999995</v>
      </c>
      <c r="W470" s="22">
        <f>SUM(W471:W474)</f>
        <v>0</v>
      </c>
    </row>
    <row r="471" spans="1:23" ht="75">
      <c r="A471" s="225" t="s">
        <v>326</v>
      </c>
      <c r="B471" s="229" t="s">
        <v>68</v>
      </c>
      <c r="C471" s="121"/>
      <c r="D471" s="226" t="s">
        <v>1036</v>
      </c>
      <c r="E471" s="226" t="s">
        <v>451</v>
      </c>
      <c r="F471" s="226" t="s">
        <v>93</v>
      </c>
      <c r="G471" s="226" t="s">
        <v>498</v>
      </c>
      <c r="H471" s="250">
        <v>100</v>
      </c>
      <c r="I471" s="61" t="s">
        <v>499</v>
      </c>
      <c r="J471" s="121" t="s">
        <v>500</v>
      </c>
      <c r="K471" s="121"/>
      <c r="L471" s="25">
        <v>5991</v>
      </c>
      <c r="M471" s="25">
        <v>6492.4</v>
      </c>
      <c r="N471" s="25">
        <v>3848.4</v>
      </c>
      <c r="O471" s="25">
        <f>P471+Q471</f>
        <v>7527.4</v>
      </c>
      <c r="P471" s="25">
        <v>7527.4</v>
      </c>
      <c r="Q471" s="25">
        <v>0</v>
      </c>
      <c r="R471" s="35">
        <f t="shared" si="208"/>
        <v>7457.6</v>
      </c>
      <c r="S471" s="25">
        <v>7457.6</v>
      </c>
      <c r="T471" s="25">
        <v>0</v>
      </c>
      <c r="U471" s="25">
        <f t="shared" ref="U471:U509" si="209">V471+W471</f>
        <v>7532.9</v>
      </c>
      <c r="V471" s="25">
        <v>7532.9</v>
      </c>
      <c r="W471" s="25">
        <v>0</v>
      </c>
    </row>
    <row r="472" spans="1:23" ht="75">
      <c r="A472" s="225" t="s">
        <v>733</v>
      </c>
      <c r="B472" s="229" t="s">
        <v>1318</v>
      </c>
      <c r="C472" s="121"/>
      <c r="D472" s="226" t="s">
        <v>1036</v>
      </c>
      <c r="E472" s="226" t="s">
        <v>451</v>
      </c>
      <c r="F472" s="226" t="s">
        <v>93</v>
      </c>
      <c r="G472" s="226" t="s">
        <v>986</v>
      </c>
      <c r="H472" s="250">
        <v>100</v>
      </c>
      <c r="I472" s="61" t="s">
        <v>1319</v>
      </c>
      <c r="J472" s="121" t="s">
        <v>1038</v>
      </c>
      <c r="K472" s="121"/>
      <c r="L472" s="25">
        <v>120</v>
      </c>
      <c r="M472" s="25">
        <v>0</v>
      </c>
      <c r="N472" s="25">
        <v>0</v>
      </c>
      <c r="O472" s="25">
        <f>P472+Q472</f>
        <v>0</v>
      </c>
      <c r="P472" s="25">
        <v>0</v>
      </c>
      <c r="Q472" s="25">
        <v>0</v>
      </c>
      <c r="R472" s="65">
        <f>S472+T472</f>
        <v>0</v>
      </c>
      <c r="S472" s="25">
        <v>0</v>
      </c>
      <c r="T472" s="25">
        <v>0</v>
      </c>
      <c r="U472" s="25">
        <f>V472+W472</f>
        <v>0</v>
      </c>
      <c r="V472" s="25">
        <v>0</v>
      </c>
      <c r="W472" s="25">
        <v>0</v>
      </c>
    </row>
    <row r="473" spans="1:23" ht="75">
      <c r="A473" s="225" t="s">
        <v>1039</v>
      </c>
      <c r="B473" s="229" t="s">
        <v>1040</v>
      </c>
      <c r="C473" s="121"/>
      <c r="D473" s="226" t="s">
        <v>1320</v>
      </c>
      <c r="E473" s="226" t="s">
        <v>451</v>
      </c>
      <c r="F473" s="226" t="s">
        <v>93</v>
      </c>
      <c r="G473" s="226" t="s">
        <v>1041</v>
      </c>
      <c r="H473" s="250">
        <v>100</v>
      </c>
      <c r="I473" s="61" t="s">
        <v>1321</v>
      </c>
      <c r="J473" s="121"/>
      <c r="K473" s="121"/>
      <c r="L473" s="25">
        <v>22.1</v>
      </c>
      <c r="M473" s="25">
        <v>0</v>
      </c>
      <c r="N473" s="25">
        <v>0</v>
      </c>
      <c r="O473" s="25">
        <f>P473+Q473</f>
        <v>0</v>
      </c>
      <c r="P473" s="25">
        <v>0</v>
      </c>
      <c r="Q473" s="25">
        <v>0</v>
      </c>
      <c r="R473" s="35">
        <f>S473+T473</f>
        <v>0</v>
      </c>
      <c r="S473" s="25">
        <v>0</v>
      </c>
      <c r="T473" s="25">
        <v>0</v>
      </c>
      <c r="U473" s="25">
        <f>V473+W473</f>
        <v>0</v>
      </c>
      <c r="V473" s="25">
        <v>0</v>
      </c>
      <c r="W473" s="25">
        <v>0</v>
      </c>
    </row>
    <row r="474" spans="1:23" ht="75">
      <c r="A474" s="225" t="s">
        <v>318</v>
      </c>
      <c r="B474" s="229" t="s">
        <v>69</v>
      </c>
      <c r="C474" s="15"/>
      <c r="D474" s="226" t="s">
        <v>349</v>
      </c>
      <c r="E474" s="226" t="s">
        <v>451</v>
      </c>
      <c r="F474" s="226" t="s">
        <v>93</v>
      </c>
      <c r="G474" s="226" t="s">
        <v>498</v>
      </c>
      <c r="H474" s="250">
        <v>200</v>
      </c>
      <c r="I474" s="61" t="s">
        <v>501</v>
      </c>
      <c r="J474" s="111" t="s">
        <v>502</v>
      </c>
      <c r="K474" s="66"/>
      <c r="L474" s="25">
        <v>294.2</v>
      </c>
      <c r="M474" s="25">
        <v>316.60000000000002</v>
      </c>
      <c r="N474" s="25">
        <v>156.9</v>
      </c>
      <c r="O474" s="25">
        <f t="shared" ref="O474" si="210">P474+Q474</f>
        <v>278.10000000000002</v>
      </c>
      <c r="P474" s="25">
        <v>278.10000000000002</v>
      </c>
      <c r="Q474" s="25">
        <v>0</v>
      </c>
      <c r="R474" s="35">
        <f t="shared" si="208"/>
        <v>275.60000000000002</v>
      </c>
      <c r="S474" s="25">
        <v>275.60000000000002</v>
      </c>
      <c r="T474" s="25">
        <v>0</v>
      </c>
      <c r="U474" s="25">
        <f t="shared" si="209"/>
        <v>278.2</v>
      </c>
      <c r="V474" s="25">
        <v>278.2</v>
      </c>
      <c r="W474" s="25">
        <v>0</v>
      </c>
    </row>
    <row r="475" spans="1:23">
      <c r="A475" s="411" t="s">
        <v>88</v>
      </c>
      <c r="B475" s="411"/>
      <c r="C475" s="411"/>
      <c r="D475" s="411"/>
      <c r="E475" s="411"/>
      <c r="F475" s="411"/>
      <c r="G475" s="411"/>
      <c r="H475" s="411"/>
      <c r="I475" s="411"/>
      <c r="J475" s="411"/>
      <c r="K475" s="411"/>
      <c r="L475" s="22">
        <f t="shared" ref="L475:W475" si="211">SUM(L476,L481,L486,L484)</f>
        <v>44968.3</v>
      </c>
      <c r="M475" s="22">
        <f t="shared" si="211"/>
        <v>45150.099999999991</v>
      </c>
      <c r="N475" s="22">
        <f t="shared" si="211"/>
        <v>29827.1</v>
      </c>
      <c r="O475" s="22">
        <f t="shared" si="211"/>
        <v>53660.299999999996</v>
      </c>
      <c r="P475" s="22">
        <f t="shared" si="211"/>
        <v>53660.299999999996</v>
      </c>
      <c r="Q475" s="22">
        <f t="shared" si="211"/>
        <v>0</v>
      </c>
      <c r="R475" s="22">
        <f t="shared" si="211"/>
        <v>53121.299999999996</v>
      </c>
      <c r="S475" s="22">
        <f t="shared" si="211"/>
        <v>53121.299999999996</v>
      </c>
      <c r="T475" s="22">
        <f t="shared" si="211"/>
        <v>0</v>
      </c>
      <c r="U475" s="22">
        <f t="shared" si="211"/>
        <v>53656.7</v>
      </c>
      <c r="V475" s="22">
        <f t="shared" si="211"/>
        <v>53656.7</v>
      </c>
      <c r="W475" s="22">
        <f t="shared" si="211"/>
        <v>0</v>
      </c>
    </row>
    <row r="476" spans="1:23">
      <c r="A476" s="225" t="s">
        <v>12</v>
      </c>
      <c r="B476" s="229" t="s">
        <v>58</v>
      </c>
      <c r="C476" s="121"/>
      <c r="D476" s="226"/>
      <c r="E476" s="250"/>
      <c r="F476" s="250"/>
      <c r="G476" s="250"/>
      <c r="H476" s="250">
        <v>100</v>
      </c>
      <c r="I476" s="111"/>
      <c r="J476" s="121"/>
      <c r="K476" s="121"/>
      <c r="L476" s="25">
        <f>L477+L478+L479+L480</f>
        <v>43409.1</v>
      </c>
      <c r="M476" s="25">
        <f t="shared" ref="M476:W476" si="212">M477+M478+M479+M480</f>
        <v>43620.2</v>
      </c>
      <c r="N476" s="25">
        <f t="shared" si="212"/>
        <v>29318.199999999997</v>
      </c>
      <c r="O476" s="25">
        <f t="shared" si="212"/>
        <v>52052.799999999996</v>
      </c>
      <c r="P476" s="25">
        <f t="shared" si="212"/>
        <v>52052.799999999996</v>
      </c>
      <c r="Q476" s="25">
        <f t="shared" si="212"/>
        <v>0</v>
      </c>
      <c r="R476" s="25">
        <f t="shared" si="212"/>
        <v>51570.5</v>
      </c>
      <c r="S476" s="25">
        <f t="shared" si="212"/>
        <v>51570.5</v>
      </c>
      <c r="T476" s="25">
        <f t="shared" si="212"/>
        <v>0</v>
      </c>
      <c r="U476" s="25">
        <f t="shared" si="212"/>
        <v>52090.400000000001</v>
      </c>
      <c r="V476" s="25">
        <f t="shared" si="212"/>
        <v>52090.400000000001</v>
      </c>
      <c r="W476" s="25">
        <f t="shared" si="212"/>
        <v>0</v>
      </c>
    </row>
    <row r="477" spans="1:23" ht="37.5">
      <c r="A477" s="225" t="s">
        <v>48</v>
      </c>
      <c r="B477" s="229" t="s">
        <v>505</v>
      </c>
      <c r="C477" s="121"/>
      <c r="D477" s="226" t="s">
        <v>450</v>
      </c>
      <c r="E477" s="226" t="s">
        <v>451</v>
      </c>
      <c r="F477" s="226" t="s">
        <v>93</v>
      </c>
      <c r="G477" s="226" t="s">
        <v>506</v>
      </c>
      <c r="H477" s="250">
        <v>100</v>
      </c>
      <c r="I477" s="56" t="s">
        <v>507</v>
      </c>
      <c r="J477" s="121" t="s">
        <v>508</v>
      </c>
      <c r="K477" s="121"/>
      <c r="L477" s="25">
        <v>13786.9</v>
      </c>
      <c r="M477" s="25">
        <v>14204</v>
      </c>
      <c r="N477" s="25">
        <v>10861.6</v>
      </c>
      <c r="O477" s="25">
        <f>SUM(P477:Q477)</f>
        <v>17339.599999999999</v>
      </c>
      <c r="P477" s="25">
        <v>17339.599999999999</v>
      </c>
      <c r="Q477" s="25">
        <v>0</v>
      </c>
      <c r="R477" s="35">
        <f t="shared" si="208"/>
        <v>17178.900000000001</v>
      </c>
      <c r="S477" s="25">
        <v>17178.900000000001</v>
      </c>
      <c r="T477" s="25">
        <v>0</v>
      </c>
      <c r="U477" s="25">
        <f t="shared" si="209"/>
        <v>17352.099999999999</v>
      </c>
      <c r="V477" s="25">
        <v>17352.099999999999</v>
      </c>
      <c r="W477" s="25">
        <v>0</v>
      </c>
    </row>
    <row r="478" spans="1:23" ht="37.5">
      <c r="A478" s="225"/>
      <c r="B478" s="229" t="s">
        <v>505</v>
      </c>
      <c r="C478" s="121"/>
      <c r="D478" s="226" t="s">
        <v>450</v>
      </c>
      <c r="E478" s="226" t="s">
        <v>451</v>
      </c>
      <c r="F478" s="226" t="s">
        <v>93</v>
      </c>
      <c r="G478" s="226" t="s">
        <v>1322</v>
      </c>
      <c r="H478" s="250">
        <v>100</v>
      </c>
      <c r="I478" s="56" t="s">
        <v>509</v>
      </c>
      <c r="J478" s="121" t="s">
        <v>510</v>
      </c>
      <c r="K478" s="121"/>
      <c r="L478" s="25">
        <v>2086.6</v>
      </c>
      <c r="M478" s="25">
        <v>0</v>
      </c>
      <c r="N478" s="25">
        <v>0</v>
      </c>
      <c r="O478" s="25">
        <f>SUM(P478:Q478)</f>
        <v>0</v>
      </c>
      <c r="P478" s="25">
        <v>0</v>
      </c>
      <c r="Q478" s="25">
        <v>0</v>
      </c>
      <c r="R478" s="65">
        <f t="shared" si="208"/>
        <v>0</v>
      </c>
      <c r="S478" s="25">
        <v>0</v>
      </c>
      <c r="T478" s="25">
        <v>0</v>
      </c>
      <c r="U478" s="25">
        <f t="shared" si="209"/>
        <v>0</v>
      </c>
      <c r="V478" s="25">
        <v>0</v>
      </c>
      <c r="W478" s="25">
        <v>0</v>
      </c>
    </row>
    <row r="479" spans="1:23" ht="56.25">
      <c r="A479" s="225" t="s">
        <v>65</v>
      </c>
      <c r="B479" s="229" t="s">
        <v>511</v>
      </c>
      <c r="C479" s="121"/>
      <c r="D479" s="226" t="s">
        <v>450</v>
      </c>
      <c r="E479" s="226" t="s">
        <v>451</v>
      </c>
      <c r="F479" s="226" t="s">
        <v>93</v>
      </c>
      <c r="G479" s="226" t="s">
        <v>512</v>
      </c>
      <c r="H479" s="250">
        <v>100</v>
      </c>
      <c r="I479" s="56" t="s">
        <v>513</v>
      </c>
      <c r="J479" s="121" t="s">
        <v>514</v>
      </c>
      <c r="K479" s="121"/>
      <c r="L479" s="25">
        <v>26936.5</v>
      </c>
      <c r="M479" s="25">
        <v>29416.2</v>
      </c>
      <c r="N479" s="25">
        <v>18456.599999999999</v>
      </c>
      <c r="O479" s="25">
        <f t="shared" ref="O479:O480" si="213">SUM(P479:Q479)</f>
        <v>34713.199999999997</v>
      </c>
      <c r="P479" s="25">
        <v>34713.199999999997</v>
      </c>
      <c r="Q479" s="25">
        <v>0</v>
      </c>
      <c r="R479" s="35">
        <f t="shared" si="208"/>
        <v>34391.599999999999</v>
      </c>
      <c r="S479" s="25">
        <v>34391.599999999999</v>
      </c>
      <c r="T479" s="25">
        <v>0</v>
      </c>
      <c r="U479" s="25">
        <f t="shared" si="209"/>
        <v>34738.300000000003</v>
      </c>
      <c r="V479" s="25">
        <v>34738.300000000003</v>
      </c>
      <c r="W479" s="25">
        <v>0</v>
      </c>
    </row>
    <row r="480" spans="1:23" ht="112.5">
      <c r="A480" s="225" t="s">
        <v>65</v>
      </c>
      <c r="B480" s="229" t="s">
        <v>511</v>
      </c>
      <c r="C480" s="121"/>
      <c r="D480" s="226" t="s">
        <v>450</v>
      </c>
      <c r="E480" s="226" t="s">
        <v>451</v>
      </c>
      <c r="F480" s="226" t="s">
        <v>93</v>
      </c>
      <c r="G480" s="226" t="s">
        <v>1323</v>
      </c>
      <c r="H480" s="250">
        <v>100</v>
      </c>
      <c r="I480" s="122" t="s">
        <v>503</v>
      </c>
      <c r="J480" s="36" t="s">
        <v>504</v>
      </c>
      <c r="K480" s="121"/>
      <c r="L480" s="25">
        <v>599.1</v>
      </c>
      <c r="M480" s="25">
        <v>0</v>
      </c>
      <c r="N480" s="25">
        <v>0</v>
      </c>
      <c r="O480" s="25">
        <f t="shared" si="213"/>
        <v>0</v>
      </c>
      <c r="P480" s="25">
        <v>0</v>
      </c>
      <c r="Q480" s="25">
        <v>0</v>
      </c>
      <c r="R480" s="65">
        <f t="shared" si="208"/>
        <v>0</v>
      </c>
      <c r="S480" s="25">
        <v>0</v>
      </c>
      <c r="T480" s="25">
        <v>0</v>
      </c>
      <c r="U480" s="25">
        <f t="shared" si="209"/>
        <v>0</v>
      </c>
      <c r="V480" s="25">
        <v>0</v>
      </c>
      <c r="W480" s="25">
        <v>0</v>
      </c>
    </row>
    <row r="481" spans="1:23" ht="37.5">
      <c r="A481" s="225" t="s">
        <v>13</v>
      </c>
      <c r="B481" s="229" t="s">
        <v>32</v>
      </c>
      <c r="C481" s="15"/>
      <c r="D481" s="16"/>
      <c r="E481" s="226"/>
      <c r="F481" s="226"/>
      <c r="G481" s="250"/>
      <c r="H481" s="250">
        <v>200</v>
      </c>
      <c r="I481" s="432" t="s">
        <v>515</v>
      </c>
      <c r="J481" s="442" t="s">
        <v>516</v>
      </c>
      <c r="K481" s="27"/>
      <c r="L481" s="25">
        <f>L482+L483</f>
        <v>1551.3</v>
      </c>
      <c r="M481" s="25">
        <f t="shared" ref="M481:W481" si="214">M482+M483</f>
        <v>1519</v>
      </c>
      <c r="N481" s="25">
        <f t="shared" si="214"/>
        <v>504.9</v>
      </c>
      <c r="O481" s="25">
        <f t="shared" si="214"/>
        <v>1603.8</v>
      </c>
      <c r="P481" s="25">
        <f t="shared" si="214"/>
        <v>1603.8</v>
      </c>
      <c r="Q481" s="25">
        <f t="shared" si="214"/>
        <v>0</v>
      </c>
      <c r="R481" s="25">
        <f t="shared" si="214"/>
        <v>1547.1</v>
      </c>
      <c r="S481" s="25">
        <f t="shared" si="214"/>
        <v>1547.1</v>
      </c>
      <c r="T481" s="25">
        <f t="shared" si="214"/>
        <v>0</v>
      </c>
      <c r="U481" s="25">
        <f t="shared" si="214"/>
        <v>1562.6000000000001</v>
      </c>
      <c r="V481" s="25">
        <f t="shared" si="214"/>
        <v>1562.6000000000001</v>
      </c>
      <c r="W481" s="25">
        <f t="shared" si="214"/>
        <v>0</v>
      </c>
    </row>
    <row r="482" spans="1:23">
      <c r="A482" s="225" t="s">
        <v>49</v>
      </c>
      <c r="B482" s="229" t="s">
        <v>505</v>
      </c>
      <c r="C482" s="15"/>
      <c r="D482" s="226" t="s">
        <v>450</v>
      </c>
      <c r="E482" s="226" t="s">
        <v>451</v>
      </c>
      <c r="F482" s="226" t="s">
        <v>93</v>
      </c>
      <c r="G482" s="226" t="s">
        <v>506</v>
      </c>
      <c r="H482" s="250">
        <v>200</v>
      </c>
      <c r="I482" s="432"/>
      <c r="J482" s="442"/>
      <c r="K482" s="66"/>
      <c r="L482" s="25">
        <v>1421</v>
      </c>
      <c r="M482" s="25">
        <v>1364.3</v>
      </c>
      <c r="N482" s="25">
        <v>411.8</v>
      </c>
      <c r="O482" s="25">
        <f>SUM(P482:Q482)</f>
        <v>1223.5999999999999</v>
      </c>
      <c r="P482" s="25">
        <v>1223.5999999999999</v>
      </c>
      <c r="Q482" s="25">
        <v>0</v>
      </c>
      <c r="R482" s="35">
        <f t="shared" si="208"/>
        <v>1212.3</v>
      </c>
      <c r="S482" s="25">
        <v>1212.3</v>
      </c>
      <c r="T482" s="25">
        <v>0</v>
      </c>
      <c r="U482" s="25">
        <f t="shared" si="209"/>
        <v>1224.4000000000001</v>
      </c>
      <c r="V482" s="25">
        <v>1224.4000000000001</v>
      </c>
      <c r="W482" s="25">
        <v>0</v>
      </c>
    </row>
    <row r="483" spans="1:23">
      <c r="A483" s="225" t="s">
        <v>70</v>
      </c>
      <c r="B483" s="229" t="s">
        <v>511</v>
      </c>
      <c r="C483" s="121"/>
      <c r="D483" s="226" t="s">
        <v>450</v>
      </c>
      <c r="E483" s="226" t="s">
        <v>451</v>
      </c>
      <c r="F483" s="226" t="s">
        <v>93</v>
      </c>
      <c r="G483" s="226" t="s">
        <v>512</v>
      </c>
      <c r="H483" s="250">
        <v>200</v>
      </c>
      <c r="I483" s="433" t="s">
        <v>517</v>
      </c>
      <c r="J483" s="424" t="s">
        <v>518</v>
      </c>
      <c r="K483" s="121"/>
      <c r="L483" s="25">
        <v>130.30000000000001</v>
      </c>
      <c r="M483" s="25">
        <v>154.69999999999999</v>
      </c>
      <c r="N483" s="25">
        <v>93.1</v>
      </c>
      <c r="O483" s="25">
        <f>SUM(P483:Q483)</f>
        <v>380.2</v>
      </c>
      <c r="P483" s="25">
        <v>380.2</v>
      </c>
      <c r="Q483" s="25">
        <v>0</v>
      </c>
      <c r="R483" s="35">
        <f t="shared" si="208"/>
        <v>334.8</v>
      </c>
      <c r="S483" s="25">
        <v>334.8</v>
      </c>
      <c r="T483" s="25">
        <v>0</v>
      </c>
      <c r="U483" s="25">
        <f t="shared" si="209"/>
        <v>338.2</v>
      </c>
      <c r="V483" s="25">
        <v>338.2</v>
      </c>
      <c r="W483" s="25">
        <v>0</v>
      </c>
    </row>
    <row r="484" spans="1:23" ht="37.5">
      <c r="A484" s="225" t="s">
        <v>154</v>
      </c>
      <c r="B484" s="229" t="s">
        <v>519</v>
      </c>
      <c r="C484" s="121"/>
      <c r="D484" s="226"/>
      <c r="E484" s="226"/>
      <c r="F484" s="226"/>
      <c r="G484" s="226"/>
      <c r="H484" s="250">
        <v>300</v>
      </c>
      <c r="I484" s="433"/>
      <c r="J484" s="424"/>
      <c r="K484" s="121"/>
      <c r="L484" s="25">
        <f>L485</f>
        <v>7</v>
      </c>
      <c r="M484" s="25">
        <f t="shared" ref="M484:W484" si="215">M485</f>
        <v>6.7</v>
      </c>
      <c r="N484" s="25">
        <f t="shared" si="215"/>
        <v>0</v>
      </c>
      <c r="O484" s="25">
        <f t="shared" si="215"/>
        <v>0</v>
      </c>
      <c r="P484" s="25">
        <f t="shared" si="215"/>
        <v>0</v>
      </c>
      <c r="Q484" s="25">
        <f t="shared" si="215"/>
        <v>0</v>
      </c>
      <c r="R484" s="25">
        <f t="shared" si="215"/>
        <v>0</v>
      </c>
      <c r="S484" s="25">
        <f t="shared" si="215"/>
        <v>0</v>
      </c>
      <c r="T484" s="25">
        <f t="shared" si="215"/>
        <v>0</v>
      </c>
      <c r="U484" s="25">
        <f t="shared" si="215"/>
        <v>0</v>
      </c>
      <c r="V484" s="25">
        <f t="shared" si="215"/>
        <v>0</v>
      </c>
      <c r="W484" s="25">
        <f t="shared" si="215"/>
        <v>0</v>
      </c>
    </row>
    <row r="485" spans="1:23">
      <c r="A485" s="225" t="s">
        <v>279</v>
      </c>
      <c r="B485" s="229" t="s">
        <v>511</v>
      </c>
      <c r="C485" s="121"/>
      <c r="D485" s="226" t="s">
        <v>450</v>
      </c>
      <c r="E485" s="226" t="s">
        <v>451</v>
      </c>
      <c r="F485" s="226" t="s">
        <v>93</v>
      </c>
      <c r="G485" s="226" t="s">
        <v>512</v>
      </c>
      <c r="H485" s="250">
        <v>300</v>
      </c>
      <c r="I485" s="433"/>
      <c r="J485" s="424"/>
      <c r="K485" s="121"/>
      <c r="L485" s="25">
        <v>7</v>
      </c>
      <c r="M485" s="25">
        <v>6.7</v>
      </c>
      <c r="N485" s="25">
        <v>0</v>
      </c>
      <c r="O485" s="25">
        <f>P485+Q485</f>
        <v>0</v>
      </c>
      <c r="P485" s="25">
        <v>0</v>
      </c>
      <c r="Q485" s="25">
        <v>0</v>
      </c>
      <c r="R485" s="25">
        <f t="shared" ref="R485" si="216">S485+T485</f>
        <v>0</v>
      </c>
      <c r="S485" s="25">
        <v>0</v>
      </c>
      <c r="T485" s="25">
        <v>0</v>
      </c>
      <c r="U485" s="25">
        <f t="shared" ref="U485" si="217">V485+W485</f>
        <v>0</v>
      </c>
      <c r="V485" s="25">
        <v>0</v>
      </c>
      <c r="W485" s="25">
        <v>0</v>
      </c>
    </row>
    <row r="486" spans="1:23">
      <c r="A486" s="225" t="s">
        <v>520</v>
      </c>
      <c r="B486" s="229" t="s">
        <v>31</v>
      </c>
      <c r="C486" s="15"/>
      <c r="D486" s="16"/>
      <c r="E486" s="226"/>
      <c r="F486" s="226"/>
      <c r="G486" s="250"/>
      <c r="H486" s="250">
        <v>800</v>
      </c>
      <c r="I486" s="433"/>
      <c r="J486" s="424"/>
      <c r="K486" s="66"/>
      <c r="L486" s="25">
        <f>L487</f>
        <v>0.9</v>
      </c>
      <c r="M486" s="25">
        <f t="shared" ref="M486:W486" si="218">M487</f>
        <v>4.2</v>
      </c>
      <c r="N486" s="25">
        <f t="shared" si="218"/>
        <v>4</v>
      </c>
      <c r="O486" s="25">
        <f t="shared" si="218"/>
        <v>3.7</v>
      </c>
      <c r="P486" s="25">
        <f t="shared" si="218"/>
        <v>3.7</v>
      </c>
      <c r="Q486" s="25">
        <f t="shared" si="218"/>
        <v>0</v>
      </c>
      <c r="R486" s="25">
        <f t="shared" si="218"/>
        <v>3.7</v>
      </c>
      <c r="S486" s="25">
        <f t="shared" si="218"/>
        <v>3.7</v>
      </c>
      <c r="T486" s="25">
        <f t="shared" si="218"/>
        <v>0</v>
      </c>
      <c r="U486" s="25">
        <f t="shared" si="218"/>
        <v>3.7</v>
      </c>
      <c r="V486" s="25">
        <f t="shared" si="218"/>
        <v>3.7</v>
      </c>
      <c r="W486" s="25">
        <f t="shared" si="218"/>
        <v>0</v>
      </c>
    </row>
    <row r="487" spans="1:23">
      <c r="A487" s="225" t="s">
        <v>456</v>
      </c>
      <c r="B487" s="229" t="s">
        <v>505</v>
      </c>
      <c r="C487" s="15"/>
      <c r="D487" s="226" t="s">
        <v>450</v>
      </c>
      <c r="E487" s="226" t="s">
        <v>451</v>
      </c>
      <c r="F487" s="226" t="s">
        <v>93</v>
      </c>
      <c r="G487" s="226" t="s">
        <v>506</v>
      </c>
      <c r="H487" s="250">
        <v>800</v>
      </c>
      <c r="I487" s="433"/>
      <c r="J487" s="424"/>
      <c r="K487" s="27"/>
      <c r="L487" s="25">
        <v>0.9</v>
      </c>
      <c r="M487" s="25">
        <v>4.2</v>
      </c>
      <c r="N487" s="25">
        <v>4</v>
      </c>
      <c r="O487" s="25">
        <f>SUM(P487:Q487)</f>
        <v>3.7</v>
      </c>
      <c r="P487" s="25">
        <v>3.7</v>
      </c>
      <c r="Q487" s="25">
        <v>0</v>
      </c>
      <c r="R487" s="35">
        <f t="shared" si="208"/>
        <v>3.7</v>
      </c>
      <c r="S487" s="25">
        <v>3.7</v>
      </c>
      <c r="T487" s="25">
        <v>0</v>
      </c>
      <c r="U487" s="25">
        <f>V487+W487</f>
        <v>3.7</v>
      </c>
      <c r="V487" s="25">
        <v>3.7</v>
      </c>
      <c r="W487" s="25">
        <v>0</v>
      </c>
    </row>
    <row r="488" spans="1:23">
      <c r="A488" s="416" t="s">
        <v>73</v>
      </c>
      <c r="B488" s="416"/>
      <c r="C488" s="416"/>
      <c r="D488" s="416"/>
      <c r="E488" s="416"/>
      <c r="F488" s="416"/>
      <c r="G488" s="416"/>
      <c r="H488" s="416"/>
      <c r="I488" s="416"/>
      <c r="J488" s="416"/>
      <c r="K488" s="416"/>
      <c r="L488" s="28">
        <f>SUM(L489)</f>
        <v>0</v>
      </c>
      <c r="M488" s="28">
        <f t="shared" ref="M488:W488" si="219">SUM(M489)</f>
        <v>840.3</v>
      </c>
      <c r="N488" s="28">
        <f t="shared" si="219"/>
        <v>636</v>
      </c>
      <c r="O488" s="28">
        <f t="shared" si="219"/>
        <v>1130.3</v>
      </c>
      <c r="P488" s="28">
        <f>SUM(P489)</f>
        <v>1130.3</v>
      </c>
      <c r="Q488" s="28">
        <f t="shared" si="219"/>
        <v>0</v>
      </c>
      <c r="R488" s="22">
        <f t="shared" si="208"/>
        <v>983.4</v>
      </c>
      <c r="S488" s="28">
        <f t="shared" si="219"/>
        <v>983.4</v>
      </c>
      <c r="T488" s="28">
        <f t="shared" si="219"/>
        <v>0</v>
      </c>
      <c r="U488" s="22">
        <f t="shared" si="209"/>
        <v>993.3</v>
      </c>
      <c r="V488" s="28">
        <f t="shared" si="219"/>
        <v>993.3</v>
      </c>
      <c r="W488" s="28">
        <f t="shared" si="219"/>
        <v>0</v>
      </c>
    </row>
    <row r="489" spans="1:23" ht="37.5">
      <c r="A489" s="225" t="s">
        <v>21</v>
      </c>
      <c r="B489" s="229" t="s">
        <v>89</v>
      </c>
      <c r="C489" s="15"/>
      <c r="D489" s="375"/>
      <c r="E489" s="250"/>
      <c r="F489" s="250"/>
      <c r="G489" s="250"/>
      <c r="H489" s="250">
        <v>200</v>
      </c>
      <c r="I489" s="15"/>
      <c r="J489" s="15"/>
      <c r="K489" s="27"/>
      <c r="L489" s="25">
        <f>L490</f>
        <v>0</v>
      </c>
      <c r="M489" s="25">
        <f>M490+M491</f>
        <v>840.3</v>
      </c>
      <c r="N489" s="25">
        <f t="shared" ref="N489:W489" si="220">N490+N491</f>
        <v>636</v>
      </c>
      <c r="O489" s="25">
        <f t="shared" si="220"/>
        <v>1130.3</v>
      </c>
      <c r="P489" s="25">
        <f t="shared" si="220"/>
        <v>1130.3</v>
      </c>
      <c r="Q489" s="25">
        <f t="shared" si="220"/>
        <v>0</v>
      </c>
      <c r="R489" s="25">
        <f t="shared" si="220"/>
        <v>983.4</v>
      </c>
      <c r="S489" s="25">
        <f t="shared" si="220"/>
        <v>983.4</v>
      </c>
      <c r="T489" s="25">
        <f t="shared" si="220"/>
        <v>0</v>
      </c>
      <c r="U489" s="25">
        <f t="shared" si="220"/>
        <v>993.3</v>
      </c>
      <c r="V489" s="25">
        <f t="shared" si="220"/>
        <v>993.3</v>
      </c>
      <c r="W489" s="25">
        <f t="shared" si="220"/>
        <v>0</v>
      </c>
    </row>
    <row r="490" spans="1:23">
      <c r="A490" s="225" t="s">
        <v>42</v>
      </c>
      <c r="B490" s="229" t="s">
        <v>1042</v>
      </c>
      <c r="C490" s="15"/>
      <c r="D490" s="226" t="s">
        <v>450</v>
      </c>
      <c r="E490" s="226" t="s">
        <v>451</v>
      </c>
      <c r="F490" s="226" t="s">
        <v>92</v>
      </c>
      <c r="G490" s="226" t="s">
        <v>521</v>
      </c>
      <c r="H490" s="250">
        <v>200</v>
      </c>
      <c r="I490" s="15"/>
      <c r="J490" s="15"/>
      <c r="K490" s="27"/>
      <c r="L490" s="25">
        <v>0</v>
      </c>
      <c r="M490" s="25">
        <v>204.3</v>
      </c>
      <c r="N490" s="25">
        <v>0</v>
      </c>
      <c r="O490" s="25">
        <f>SUM(P490:Q490)</f>
        <v>494.3</v>
      </c>
      <c r="P490" s="25">
        <v>494.3</v>
      </c>
      <c r="Q490" s="25">
        <v>0</v>
      </c>
      <c r="R490" s="65">
        <f t="shared" si="208"/>
        <v>430.1</v>
      </c>
      <c r="S490" s="25">
        <v>430.1</v>
      </c>
      <c r="T490" s="25">
        <v>0</v>
      </c>
      <c r="U490" s="25">
        <f t="shared" si="209"/>
        <v>434.4</v>
      </c>
      <c r="V490" s="25">
        <v>434.4</v>
      </c>
      <c r="W490" s="25">
        <v>0</v>
      </c>
    </row>
    <row r="491" spans="1:23">
      <c r="A491" s="225" t="s">
        <v>74</v>
      </c>
      <c r="B491" s="229" t="s">
        <v>1042</v>
      </c>
      <c r="C491" s="15"/>
      <c r="D491" s="226" t="s">
        <v>450</v>
      </c>
      <c r="E491" s="226" t="s">
        <v>93</v>
      </c>
      <c r="F491" s="250">
        <v>10</v>
      </c>
      <c r="G491" s="226" t="s">
        <v>1043</v>
      </c>
      <c r="H491" s="250">
        <v>200</v>
      </c>
      <c r="I491" s="15"/>
      <c r="J491" s="15"/>
      <c r="K491" s="27"/>
      <c r="L491" s="25">
        <v>0</v>
      </c>
      <c r="M491" s="25">
        <v>636</v>
      </c>
      <c r="N491" s="25">
        <v>636</v>
      </c>
      <c r="O491" s="25">
        <f>SUM(P491:Q491)</f>
        <v>636</v>
      </c>
      <c r="P491" s="25">
        <v>636</v>
      </c>
      <c r="Q491" s="25">
        <v>0</v>
      </c>
      <c r="R491" s="65">
        <f t="shared" si="208"/>
        <v>553.29999999999995</v>
      </c>
      <c r="S491" s="25">
        <v>553.29999999999995</v>
      </c>
      <c r="T491" s="25">
        <v>0</v>
      </c>
      <c r="U491" s="25">
        <f t="shared" si="209"/>
        <v>558.9</v>
      </c>
      <c r="V491" s="25">
        <v>558.9</v>
      </c>
      <c r="W491" s="25">
        <v>0</v>
      </c>
    </row>
    <row r="492" spans="1:23">
      <c r="A492" s="225" t="s">
        <v>77</v>
      </c>
      <c r="B492" s="229" t="s">
        <v>1226</v>
      </c>
      <c r="C492" s="15"/>
      <c r="D492" s="375"/>
      <c r="E492" s="250"/>
      <c r="F492" s="250"/>
      <c r="G492" s="250"/>
      <c r="H492" s="250">
        <v>200</v>
      </c>
      <c r="I492" s="15"/>
      <c r="J492" s="15"/>
      <c r="K492" s="27"/>
      <c r="L492" s="25"/>
      <c r="M492" s="25"/>
      <c r="N492" s="25"/>
      <c r="O492" s="25">
        <f>SUM(P492:Q492)</f>
        <v>0</v>
      </c>
      <c r="P492" s="25">
        <v>0</v>
      </c>
      <c r="Q492" s="25">
        <v>0</v>
      </c>
      <c r="R492" s="65">
        <f t="shared" si="208"/>
        <v>0</v>
      </c>
      <c r="S492" s="25">
        <v>0</v>
      </c>
      <c r="T492" s="25">
        <v>0</v>
      </c>
      <c r="U492" s="25">
        <f t="shared" si="209"/>
        <v>0</v>
      </c>
      <c r="V492" s="25">
        <v>0</v>
      </c>
      <c r="W492" s="25">
        <v>0</v>
      </c>
    </row>
    <row r="493" spans="1:23">
      <c r="A493" s="411" t="s">
        <v>75</v>
      </c>
      <c r="B493" s="411"/>
      <c r="C493" s="411"/>
      <c r="D493" s="411"/>
      <c r="E493" s="411"/>
      <c r="F493" s="411"/>
      <c r="G493" s="411"/>
      <c r="H493" s="411"/>
      <c r="I493" s="411"/>
      <c r="J493" s="411"/>
      <c r="K493" s="411"/>
      <c r="L493" s="28">
        <f>SUM(L494)</f>
        <v>306349.3</v>
      </c>
      <c r="M493" s="28">
        <f t="shared" ref="M493:W493" si="221">SUM(M494)</f>
        <v>303926.89999999997</v>
      </c>
      <c r="N493" s="28">
        <f t="shared" si="221"/>
        <v>192221.70000000004</v>
      </c>
      <c r="O493" s="28">
        <f t="shared" si="221"/>
        <v>351004.5</v>
      </c>
      <c r="P493" s="28">
        <f t="shared" si="221"/>
        <v>351004.5</v>
      </c>
      <c r="Q493" s="28">
        <f t="shared" si="221"/>
        <v>0</v>
      </c>
      <c r="R493" s="28">
        <f t="shared" si="221"/>
        <v>315990.30000000005</v>
      </c>
      <c r="S493" s="28">
        <f t="shared" si="221"/>
        <v>315990.30000000005</v>
      </c>
      <c r="T493" s="28">
        <f t="shared" si="221"/>
        <v>0</v>
      </c>
      <c r="U493" s="28">
        <f t="shared" si="221"/>
        <v>319172.09999999998</v>
      </c>
      <c r="V493" s="28">
        <f t="shared" si="221"/>
        <v>319172.09999999998</v>
      </c>
      <c r="W493" s="28">
        <f t="shared" si="221"/>
        <v>0</v>
      </c>
    </row>
    <row r="494" spans="1:23">
      <c r="A494" s="434" t="s">
        <v>37</v>
      </c>
      <c r="B494" s="434"/>
      <c r="C494" s="258"/>
      <c r="D494" s="257"/>
      <c r="E494" s="257"/>
      <c r="F494" s="257"/>
      <c r="G494" s="257"/>
      <c r="H494" s="257"/>
      <c r="I494" s="56"/>
      <c r="J494" s="258"/>
      <c r="K494" s="258"/>
      <c r="L494" s="22">
        <f>L495+L515</f>
        <v>306349.3</v>
      </c>
      <c r="M494" s="22">
        <f>SUM(M495,M515)</f>
        <v>303926.89999999997</v>
      </c>
      <c r="N494" s="22">
        <f>SUM(N495,N515)</f>
        <v>192221.70000000004</v>
      </c>
      <c r="O494" s="22">
        <f>P494+Q494</f>
        <v>351004.5</v>
      </c>
      <c r="P494" s="22">
        <f>SUM(P495,P515)</f>
        <v>351004.5</v>
      </c>
      <c r="Q494" s="22">
        <f>SUM(Q495,Q515)</f>
        <v>0</v>
      </c>
      <c r="R494" s="239">
        <f t="shared" si="208"/>
        <v>315990.30000000005</v>
      </c>
      <c r="S494" s="22">
        <f>SUM(S495,S515)</f>
        <v>315990.30000000005</v>
      </c>
      <c r="T494" s="22">
        <f>SUM(T495,T515)</f>
        <v>0</v>
      </c>
      <c r="U494" s="22">
        <f t="shared" si="209"/>
        <v>319172.09999999998</v>
      </c>
      <c r="V494" s="22">
        <f>SUM(V495,V515)</f>
        <v>319172.09999999998</v>
      </c>
      <c r="W494" s="22">
        <f>SUM(W495,W515)</f>
        <v>0</v>
      </c>
    </row>
    <row r="495" spans="1:23" ht="93.75">
      <c r="A495" s="269" t="s">
        <v>38</v>
      </c>
      <c r="B495" s="229" t="s">
        <v>78</v>
      </c>
      <c r="C495" s="115"/>
      <c r="D495" s="383"/>
      <c r="E495" s="250"/>
      <c r="F495" s="250"/>
      <c r="G495" s="250"/>
      <c r="H495" s="250">
        <v>600</v>
      </c>
      <c r="I495" s="56"/>
      <c r="J495" s="115"/>
      <c r="K495" s="14"/>
      <c r="L495" s="25">
        <f>L496+L502+L506+L510</f>
        <v>261396.8</v>
      </c>
      <c r="M495" s="25">
        <f>M496+M502+M506+M510</f>
        <v>270238.59999999998</v>
      </c>
      <c r="N495" s="25">
        <f>N496+N502+N506+N510</f>
        <v>171849.60000000003</v>
      </c>
      <c r="O495" s="25">
        <f>P495+Q495</f>
        <v>281912.2</v>
      </c>
      <c r="P495" s="25">
        <f>P496+P502+P506+P510</f>
        <v>281912.2</v>
      </c>
      <c r="Q495" s="25">
        <f>Q496+Q502+Q506+Q510</f>
        <v>0</v>
      </c>
      <c r="R495" s="25">
        <f>S495+T495</f>
        <v>281873.90000000002</v>
      </c>
      <c r="S495" s="25">
        <f>S496+S502+S506+S510</f>
        <v>281873.90000000002</v>
      </c>
      <c r="T495" s="25">
        <f>SUM(T503:T514)</f>
        <v>0</v>
      </c>
      <c r="U495" s="25">
        <f t="shared" si="209"/>
        <v>284704.2</v>
      </c>
      <c r="V495" s="25">
        <f>V496+V502+V506+V510</f>
        <v>284704.2</v>
      </c>
      <c r="W495" s="25">
        <f>SUM(W503:W514)</f>
        <v>0</v>
      </c>
    </row>
    <row r="496" spans="1:23" ht="19.5">
      <c r="A496" s="407" t="s">
        <v>45</v>
      </c>
      <c r="B496" s="427" t="s">
        <v>522</v>
      </c>
      <c r="C496" s="115"/>
      <c r="D496" s="383"/>
      <c r="E496" s="226"/>
      <c r="F496" s="226"/>
      <c r="G496" s="226"/>
      <c r="H496" s="250"/>
      <c r="I496" s="56"/>
      <c r="J496" s="115"/>
      <c r="K496" s="14"/>
      <c r="L496" s="67">
        <f>L497+L498+L499+L500+L501</f>
        <v>57903</v>
      </c>
      <c r="M496" s="67">
        <f t="shared" ref="M496:W496" si="222">M497+M498+M499+M500+M501</f>
        <v>53708.500000000007</v>
      </c>
      <c r="N496" s="67">
        <f t="shared" si="222"/>
        <v>31275</v>
      </c>
      <c r="O496" s="67">
        <f t="shared" si="222"/>
        <v>60243.100000000006</v>
      </c>
      <c r="P496" s="67">
        <f t="shared" si="222"/>
        <v>60243.100000000006</v>
      </c>
      <c r="Q496" s="67">
        <f t="shared" si="222"/>
        <v>0</v>
      </c>
      <c r="R496" s="67">
        <f t="shared" si="222"/>
        <v>59687.700000000004</v>
      </c>
      <c r="S496" s="67">
        <f t="shared" si="222"/>
        <v>59687.700000000004</v>
      </c>
      <c r="T496" s="67">
        <f t="shared" si="222"/>
        <v>0</v>
      </c>
      <c r="U496" s="67">
        <f t="shared" si="222"/>
        <v>60278.700000000004</v>
      </c>
      <c r="V496" s="67">
        <f t="shared" si="222"/>
        <v>60278.700000000004</v>
      </c>
      <c r="W496" s="67">
        <f t="shared" si="222"/>
        <v>0</v>
      </c>
    </row>
    <row r="497" spans="1:23" ht="56.25">
      <c r="A497" s="407"/>
      <c r="B497" s="427"/>
      <c r="C497" s="424" t="s">
        <v>523</v>
      </c>
      <c r="D497" s="226" t="s">
        <v>524</v>
      </c>
      <c r="E497" s="226" t="s">
        <v>451</v>
      </c>
      <c r="F497" s="226" t="s">
        <v>92</v>
      </c>
      <c r="G497" s="226" t="s">
        <v>525</v>
      </c>
      <c r="H497" s="250">
        <v>621</v>
      </c>
      <c r="I497" s="56" t="s">
        <v>526</v>
      </c>
      <c r="J497" s="41" t="s">
        <v>527</v>
      </c>
      <c r="K497" s="14"/>
      <c r="L497" s="25">
        <v>54541.5</v>
      </c>
      <c r="M497" s="25">
        <v>52519.3</v>
      </c>
      <c r="N497" s="25">
        <v>30495.3</v>
      </c>
      <c r="O497" s="25">
        <f>SUM(P497:Q497)</f>
        <v>59060</v>
      </c>
      <c r="P497" s="25">
        <v>59060</v>
      </c>
      <c r="Q497" s="25">
        <v>0</v>
      </c>
      <c r="R497" s="25">
        <f>S497+T497</f>
        <v>58512.9</v>
      </c>
      <c r="S497" s="25">
        <v>58512.9</v>
      </c>
      <c r="T497" s="25">
        <v>0</v>
      </c>
      <c r="U497" s="25">
        <f t="shared" ref="U497:U501" si="223">V497+W497</f>
        <v>59102.6</v>
      </c>
      <c r="V497" s="25">
        <v>59102.6</v>
      </c>
      <c r="W497" s="25">
        <v>0</v>
      </c>
    </row>
    <row r="498" spans="1:23">
      <c r="A498" s="407"/>
      <c r="B498" s="427"/>
      <c r="C498" s="424"/>
      <c r="D498" s="226" t="s">
        <v>524</v>
      </c>
      <c r="E498" s="226" t="s">
        <v>451</v>
      </c>
      <c r="F498" s="226" t="s">
        <v>92</v>
      </c>
      <c r="G498" s="226" t="s">
        <v>1044</v>
      </c>
      <c r="H498" s="250">
        <v>621</v>
      </c>
      <c r="I498" s="432" t="s">
        <v>531</v>
      </c>
      <c r="J498" s="41"/>
      <c r="K498" s="14"/>
      <c r="L498" s="25">
        <v>2264.3000000000002</v>
      </c>
      <c r="M498" s="25">
        <v>0</v>
      </c>
      <c r="N498" s="25">
        <v>0</v>
      </c>
      <c r="O498" s="25">
        <f>SUM(P498:Q498)</f>
        <v>0</v>
      </c>
      <c r="P498" s="25">
        <v>0</v>
      </c>
      <c r="Q498" s="25">
        <v>0</v>
      </c>
      <c r="R498" s="37">
        <f t="shared" ref="R498:R501" si="224">S498+T498</f>
        <v>0</v>
      </c>
      <c r="S498" s="25">
        <v>0</v>
      </c>
      <c r="T498" s="25">
        <v>0</v>
      </c>
      <c r="U498" s="25">
        <f t="shared" si="223"/>
        <v>0</v>
      </c>
      <c r="V498" s="25">
        <v>0</v>
      </c>
      <c r="W498" s="25">
        <v>0</v>
      </c>
    </row>
    <row r="499" spans="1:23">
      <c r="A499" s="407"/>
      <c r="B499" s="427"/>
      <c r="C499" s="424"/>
      <c r="D499" s="226" t="s">
        <v>524</v>
      </c>
      <c r="E499" s="226" t="s">
        <v>451</v>
      </c>
      <c r="F499" s="226" t="s">
        <v>92</v>
      </c>
      <c r="G499" s="226" t="s">
        <v>528</v>
      </c>
      <c r="H499" s="250">
        <v>621</v>
      </c>
      <c r="I499" s="432"/>
      <c r="J499" s="41"/>
      <c r="K499" s="14"/>
      <c r="L499" s="25">
        <v>1000</v>
      </c>
      <c r="M499" s="25">
        <v>1045.3</v>
      </c>
      <c r="N499" s="25">
        <v>668.8</v>
      </c>
      <c r="O499" s="25">
        <f>P499+Q499</f>
        <v>1045.3</v>
      </c>
      <c r="P499" s="25">
        <v>1045.3</v>
      </c>
      <c r="Q499" s="25">
        <v>0</v>
      </c>
      <c r="R499" s="25">
        <f t="shared" si="224"/>
        <v>1045.3</v>
      </c>
      <c r="S499" s="25">
        <v>1045.3</v>
      </c>
      <c r="T499" s="25">
        <v>0</v>
      </c>
      <c r="U499" s="25">
        <f t="shared" si="223"/>
        <v>1045.3</v>
      </c>
      <c r="V499" s="25">
        <v>1045.3</v>
      </c>
      <c r="W499" s="25">
        <v>0</v>
      </c>
    </row>
    <row r="500" spans="1:23">
      <c r="A500" s="407"/>
      <c r="B500" s="427"/>
      <c r="C500" s="424"/>
      <c r="D500" s="226" t="s">
        <v>524</v>
      </c>
      <c r="E500" s="226" t="s">
        <v>451</v>
      </c>
      <c r="F500" s="226" t="s">
        <v>92</v>
      </c>
      <c r="G500" s="226" t="s">
        <v>529</v>
      </c>
      <c r="H500" s="250">
        <v>621</v>
      </c>
      <c r="I500" s="432"/>
      <c r="J500" s="41"/>
      <c r="K500" s="14"/>
      <c r="L500" s="25">
        <v>45</v>
      </c>
      <c r="M500" s="25">
        <v>48.9</v>
      </c>
      <c r="N500" s="25">
        <v>48.9</v>
      </c>
      <c r="O500" s="25">
        <f t="shared" ref="O500:O501" si="225">P500+Q500</f>
        <v>50</v>
      </c>
      <c r="P500" s="25">
        <v>50</v>
      </c>
      <c r="Q500" s="25">
        <v>0</v>
      </c>
      <c r="R500" s="37">
        <f t="shared" si="224"/>
        <v>42.5</v>
      </c>
      <c r="S500" s="25">
        <v>42.5</v>
      </c>
      <c r="T500" s="25">
        <v>0</v>
      </c>
      <c r="U500" s="25">
        <f t="shared" si="223"/>
        <v>42.9</v>
      </c>
      <c r="V500" s="25">
        <v>42.9</v>
      </c>
      <c r="W500" s="25">
        <v>0</v>
      </c>
    </row>
    <row r="501" spans="1:23" ht="56.25">
      <c r="A501" s="407"/>
      <c r="B501" s="427"/>
      <c r="C501" s="424"/>
      <c r="D501" s="226" t="s">
        <v>524</v>
      </c>
      <c r="E501" s="226" t="s">
        <v>451</v>
      </c>
      <c r="F501" s="226" t="s">
        <v>92</v>
      </c>
      <c r="G501" s="226" t="s">
        <v>530</v>
      </c>
      <c r="H501" s="250">
        <v>621</v>
      </c>
      <c r="I501" s="147" t="s">
        <v>531</v>
      </c>
      <c r="J501" s="114" t="s">
        <v>532</v>
      </c>
      <c r="K501" s="14"/>
      <c r="L501" s="25">
        <v>52.2</v>
      </c>
      <c r="M501" s="25">
        <v>95</v>
      </c>
      <c r="N501" s="25">
        <v>62</v>
      </c>
      <c r="O501" s="25">
        <f t="shared" si="225"/>
        <v>87.8</v>
      </c>
      <c r="P501" s="25">
        <v>87.8</v>
      </c>
      <c r="Q501" s="25">
        <v>0</v>
      </c>
      <c r="R501" s="37">
        <f t="shared" si="224"/>
        <v>87</v>
      </c>
      <c r="S501" s="25">
        <v>87</v>
      </c>
      <c r="T501" s="25">
        <v>0</v>
      </c>
      <c r="U501" s="25">
        <f t="shared" si="223"/>
        <v>87.9</v>
      </c>
      <c r="V501" s="25">
        <v>87.9</v>
      </c>
      <c r="W501" s="25">
        <v>0</v>
      </c>
    </row>
    <row r="502" spans="1:23" ht="19.5">
      <c r="A502" s="407" t="s">
        <v>63</v>
      </c>
      <c r="B502" s="427" t="s">
        <v>533</v>
      </c>
      <c r="C502" s="424" t="s">
        <v>534</v>
      </c>
      <c r="D502" s="226"/>
      <c r="E502" s="250"/>
      <c r="F502" s="250"/>
      <c r="G502" s="250"/>
      <c r="H502" s="226"/>
      <c r="I502" s="56"/>
      <c r="J502" s="41"/>
      <c r="K502" s="14"/>
      <c r="L502" s="67">
        <f>L503+L504+L505</f>
        <v>4363.5999999999995</v>
      </c>
      <c r="M502" s="67">
        <f t="shared" ref="M502:W502" si="226">M503+M504+M505</f>
        <v>4611</v>
      </c>
      <c r="N502" s="67">
        <f t="shared" si="226"/>
        <v>2559.9</v>
      </c>
      <c r="O502" s="67">
        <f t="shared" si="226"/>
        <v>4258.5</v>
      </c>
      <c r="P502" s="67">
        <f t="shared" si="226"/>
        <v>4258.5</v>
      </c>
      <c r="Q502" s="67">
        <f t="shared" si="226"/>
        <v>0</v>
      </c>
      <c r="R502" s="67">
        <f t="shared" si="226"/>
        <v>4219.1000000000004</v>
      </c>
      <c r="S502" s="67">
        <f t="shared" si="226"/>
        <v>4219.1000000000004</v>
      </c>
      <c r="T502" s="67">
        <f t="shared" si="226"/>
        <v>0</v>
      </c>
      <c r="U502" s="67">
        <f t="shared" si="226"/>
        <v>4261.5</v>
      </c>
      <c r="V502" s="67">
        <f t="shared" si="226"/>
        <v>4261.5</v>
      </c>
      <c r="W502" s="67">
        <f t="shared" si="226"/>
        <v>0</v>
      </c>
    </row>
    <row r="503" spans="1:23">
      <c r="A503" s="407"/>
      <c r="B503" s="427"/>
      <c r="C503" s="424"/>
      <c r="D503" s="226" t="s">
        <v>450</v>
      </c>
      <c r="E503" s="226" t="s">
        <v>451</v>
      </c>
      <c r="F503" s="226" t="s">
        <v>92</v>
      </c>
      <c r="G503" s="226" t="s">
        <v>535</v>
      </c>
      <c r="H503" s="226" t="s">
        <v>148</v>
      </c>
      <c r="I503" s="56"/>
      <c r="J503" s="41"/>
      <c r="K503" s="14"/>
      <c r="L503" s="25">
        <v>4337.3999999999996</v>
      </c>
      <c r="M503" s="35">
        <v>4213.5</v>
      </c>
      <c r="N503" s="35">
        <v>2398.4</v>
      </c>
      <c r="O503" s="25">
        <f t="shared" ref="O503:O525" si="227">P503+Q503</f>
        <v>4214.6000000000004</v>
      </c>
      <c r="P503" s="35">
        <v>4214.6000000000004</v>
      </c>
      <c r="Q503" s="25">
        <v>0</v>
      </c>
      <c r="R503" s="65">
        <f t="shared" si="208"/>
        <v>4175.6000000000004</v>
      </c>
      <c r="S503" s="35">
        <v>4175.6000000000004</v>
      </c>
      <c r="T503" s="25">
        <v>0</v>
      </c>
      <c r="U503" s="25">
        <f t="shared" si="209"/>
        <v>4217.6000000000004</v>
      </c>
      <c r="V503" s="35">
        <v>4217.6000000000004</v>
      </c>
      <c r="W503" s="25">
        <v>0</v>
      </c>
    </row>
    <row r="504" spans="1:23">
      <c r="A504" s="407"/>
      <c r="B504" s="427"/>
      <c r="C504" s="424"/>
      <c r="D504" s="226" t="s">
        <v>450</v>
      </c>
      <c r="E504" s="226" t="s">
        <v>451</v>
      </c>
      <c r="F504" s="226" t="s">
        <v>92</v>
      </c>
      <c r="G504" s="250" t="s">
        <v>1324</v>
      </c>
      <c r="H504" s="226" t="s">
        <v>148</v>
      </c>
      <c r="I504" s="56"/>
      <c r="J504" s="41"/>
      <c r="K504" s="14"/>
      <c r="L504" s="25">
        <v>0</v>
      </c>
      <c r="M504" s="35">
        <v>350</v>
      </c>
      <c r="N504" s="35">
        <v>161.5</v>
      </c>
      <c r="O504" s="25">
        <f t="shared" si="227"/>
        <v>0</v>
      </c>
      <c r="P504" s="35">
        <v>0</v>
      </c>
      <c r="Q504" s="25">
        <v>0</v>
      </c>
      <c r="R504" s="35">
        <f t="shared" si="208"/>
        <v>0</v>
      </c>
      <c r="S504" s="35">
        <v>0</v>
      </c>
      <c r="T504" s="25">
        <v>0</v>
      </c>
      <c r="U504" s="25">
        <f t="shared" si="209"/>
        <v>0</v>
      </c>
      <c r="V504" s="35">
        <v>0</v>
      </c>
      <c r="W504" s="25">
        <v>0</v>
      </c>
    </row>
    <row r="505" spans="1:23">
      <c r="A505" s="407"/>
      <c r="B505" s="427"/>
      <c r="C505" s="424"/>
      <c r="D505" s="226" t="s">
        <v>450</v>
      </c>
      <c r="E505" s="226" t="s">
        <v>451</v>
      </c>
      <c r="F505" s="226" t="s">
        <v>92</v>
      </c>
      <c r="G505" s="226" t="s">
        <v>537</v>
      </c>
      <c r="H505" s="226" t="s">
        <v>148</v>
      </c>
      <c r="I505" s="56"/>
      <c r="J505" s="41"/>
      <c r="K505" s="14"/>
      <c r="L505" s="25">
        <v>26.2</v>
      </c>
      <c r="M505" s="25">
        <v>47.5</v>
      </c>
      <c r="N505" s="25">
        <v>0</v>
      </c>
      <c r="O505" s="25">
        <f t="shared" si="227"/>
        <v>43.9</v>
      </c>
      <c r="P505" s="25">
        <v>43.9</v>
      </c>
      <c r="Q505" s="25">
        <v>0</v>
      </c>
      <c r="R505" s="65">
        <f t="shared" si="208"/>
        <v>43.5</v>
      </c>
      <c r="S505" s="25">
        <v>43.5</v>
      </c>
      <c r="T505" s="25">
        <v>0</v>
      </c>
      <c r="U505" s="25">
        <f t="shared" si="209"/>
        <v>43.9</v>
      </c>
      <c r="V505" s="25">
        <v>43.9</v>
      </c>
      <c r="W505" s="25">
        <v>0</v>
      </c>
    </row>
    <row r="506" spans="1:23" ht="75">
      <c r="A506" s="407" t="s">
        <v>64</v>
      </c>
      <c r="B506" s="427" t="s">
        <v>538</v>
      </c>
      <c r="C506" s="424" t="s">
        <v>539</v>
      </c>
      <c r="D506" s="226"/>
      <c r="E506" s="226"/>
      <c r="F506" s="226"/>
      <c r="G506" s="250"/>
      <c r="H506" s="250"/>
      <c r="I506" s="56" t="s">
        <v>540</v>
      </c>
      <c r="J506" s="41" t="s">
        <v>541</v>
      </c>
      <c r="K506" s="14"/>
      <c r="L506" s="67">
        <f>L507+L508+L509</f>
        <v>89323.900000000009</v>
      </c>
      <c r="M506" s="67">
        <f t="shared" ref="M506:W506" si="228">M507+M508+M509</f>
        <v>89111.7</v>
      </c>
      <c r="N506" s="67">
        <f t="shared" si="228"/>
        <v>60625.8</v>
      </c>
      <c r="O506" s="67">
        <f t="shared" si="228"/>
        <v>97314.8</v>
      </c>
      <c r="P506" s="67">
        <f t="shared" si="228"/>
        <v>97314.8</v>
      </c>
      <c r="Q506" s="67">
        <f t="shared" si="228"/>
        <v>0</v>
      </c>
      <c r="R506" s="67">
        <f t="shared" si="228"/>
        <v>98983.9</v>
      </c>
      <c r="S506" s="67">
        <f t="shared" si="228"/>
        <v>98983.9</v>
      </c>
      <c r="T506" s="67">
        <f t="shared" si="228"/>
        <v>0</v>
      </c>
      <c r="U506" s="67">
        <f t="shared" si="228"/>
        <v>99981.6</v>
      </c>
      <c r="V506" s="67">
        <f t="shared" si="228"/>
        <v>99981.6</v>
      </c>
      <c r="W506" s="67">
        <f t="shared" si="228"/>
        <v>0</v>
      </c>
    </row>
    <row r="507" spans="1:23">
      <c r="A507" s="407"/>
      <c r="B507" s="427"/>
      <c r="C507" s="424"/>
      <c r="D507" s="226" t="s">
        <v>1045</v>
      </c>
      <c r="E507" s="226" t="s">
        <v>146</v>
      </c>
      <c r="F507" s="226" t="s">
        <v>95</v>
      </c>
      <c r="G507" s="226" t="s">
        <v>542</v>
      </c>
      <c r="H507" s="226" t="s">
        <v>148</v>
      </c>
      <c r="I507" s="432" t="s">
        <v>544</v>
      </c>
      <c r="J507" s="41"/>
      <c r="K507" s="14"/>
      <c r="L507" s="35">
        <v>83823.100000000006</v>
      </c>
      <c r="M507" s="25">
        <v>89016.7</v>
      </c>
      <c r="N507" s="25">
        <v>60535.5</v>
      </c>
      <c r="O507" s="25">
        <f t="shared" si="227"/>
        <v>97314.8</v>
      </c>
      <c r="P507" s="25">
        <v>97314.8</v>
      </c>
      <c r="Q507" s="25">
        <v>0</v>
      </c>
      <c r="R507" s="35">
        <f t="shared" si="208"/>
        <v>98983.9</v>
      </c>
      <c r="S507" s="25">
        <v>98983.9</v>
      </c>
      <c r="T507" s="25">
        <v>0</v>
      </c>
      <c r="U507" s="25">
        <f t="shared" si="209"/>
        <v>99981.6</v>
      </c>
      <c r="V507" s="25">
        <v>99981.6</v>
      </c>
      <c r="W507" s="25">
        <v>0</v>
      </c>
    </row>
    <row r="508" spans="1:23">
      <c r="A508" s="407"/>
      <c r="B508" s="427"/>
      <c r="C508" s="424"/>
      <c r="D508" s="226" t="s">
        <v>1045</v>
      </c>
      <c r="E508" s="226" t="s">
        <v>146</v>
      </c>
      <c r="F508" s="226" t="s">
        <v>95</v>
      </c>
      <c r="G508" s="226" t="s">
        <v>1046</v>
      </c>
      <c r="H508" s="250">
        <v>621</v>
      </c>
      <c r="I508" s="432"/>
      <c r="J508" s="41"/>
      <c r="K508" s="14"/>
      <c r="L508" s="35">
        <v>5500.8</v>
      </c>
      <c r="M508" s="25">
        <v>0</v>
      </c>
      <c r="N508" s="25">
        <v>0</v>
      </c>
      <c r="O508" s="25">
        <f t="shared" si="227"/>
        <v>0</v>
      </c>
      <c r="P508" s="25">
        <v>0</v>
      </c>
      <c r="Q508" s="25">
        <v>0</v>
      </c>
      <c r="R508" s="35">
        <f t="shared" si="208"/>
        <v>0</v>
      </c>
      <c r="S508" s="25">
        <v>0</v>
      </c>
      <c r="T508" s="25">
        <v>0</v>
      </c>
      <c r="U508" s="25">
        <f t="shared" si="209"/>
        <v>0</v>
      </c>
      <c r="V508" s="25">
        <v>0</v>
      </c>
      <c r="W508" s="25">
        <v>0</v>
      </c>
    </row>
    <row r="509" spans="1:23">
      <c r="A509" s="407"/>
      <c r="B509" s="427"/>
      <c r="C509" s="121"/>
      <c r="D509" s="226" t="s">
        <v>1045</v>
      </c>
      <c r="E509" s="226" t="s">
        <v>146</v>
      </c>
      <c r="F509" s="226" t="s">
        <v>95</v>
      </c>
      <c r="G509" s="226" t="s">
        <v>1047</v>
      </c>
      <c r="H509" s="250">
        <v>621</v>
      </c>
      <c r="I509" s="147"/>
      <c r="J509" s="41"/>
      <c r="K509" s="14"/>
      <c r="L509" s="35">
        <v>0</v>
      </c>
      <c r="M509" s="25">
        <v>95</v>
      </c>
      <c r="N509" s="25">
        <v>90.3</v>
      </c>
      <c r="O509" s="25">
        <f>P509+Q509</f>
        <v>0</v>
      </c>
      <c r="P509" s="25">
        <v>0</v>
      </c>
      <c r="Q509" s="25">
        <v>0</v>
      </c>
      <c r="R509" s="25">
        <f t="shared" si="208"/>
        <v>0</v>
      </c>
      <c r="S509" s="25">
        <v>0</v>
      </c>
      <c r="T509" s="25">
        <v>0</v>
      </c>
      <c r="U509" s="25">
        <f t="shared" si="209"/>
        <v>0</v>
      </c>
      <c r="V509" s="25">
        <v>0</v>
      </c>
      <c r="W509" s="25">
        <v>0</v>
      </c>
    </row>
    <row r="510" spans="1:23" s="3" customFormat="1" ht="19.5">
      <c r="A510" s="407" t="s">
        <v>545</v>
      </c>
      <c r="B510" s="427" t="s">
        <v>546</v>
      </c>
      <c r="C510" s="424" t="s">
        <v>547</v>
      </c>
      <c r="D510" s="226"/>
      <c r="E510" s="652"/>
      <c r="F510" s="652"/>
      <c r="G510" s="652"/>
      <c r="H510" s="652"/>
      <c r="I510" s="147"/>
      <c r="J510" s="114"/>
      <c r="K510" s="14"/>
      <c r="L510" s="68">
        <f>L511+L512+L513+L514</f>
        <v>109806.3</v>
      </c>
      <c r="M510" s="68">
        <f t="shared" ref="M510:W510" si="229">M511+M512+M513+M514</f>
        <v>122807.4</v>
      </c>
      <c r="N510" s="68">
        <f t="shared" si="229"/>
        <v>77388.900000000009</v>
      </c>
      <c r="O510" s="68">
        <f t="shared" si="229"/>
        <v>120095.8</v>
      </c>
      <c r="P510" s="68">
        <f t="shared" si="229"/>
        <v>120095.8</v>
      </c>
      <c r="Q510" s="68">
        <f t="shared" si="229"/>
        <v>0</v>
      </c>
      <c r="R510" s="68">
        <f t="shared" si="229"/>
        <v>118983.2</v>
      </c>
      <c r="S510" s="68">
        <f t="shared" si="229"/>
        <v>118983.2</v>
      </c>
      <c r="T510" s="68">
        <f t="shared" si="229"/>
        <v>0</v>
      </c>
      <c r="U510" s="68">
        <f t="shared" si="229"/>
        <v>120182.39999999999</v>
      </c>
      <c r="V510" s="68">
        <f t="shared" si="229"/>
        <v>120182.39999999999</v>
      </c>
      <c r="W510" s="68">
        <f t="shared" si="229"/>
        <v>0</v>
      </c>
    </row>
    <row r="511" spans="1:23" s="3" customFormat="1" ht="38.450000000000003" customHeight="1">
      <c r="A511" s="407"/>
      <c r="B511" s="427"/>
      <c r="C511" s="424"/>
      <c r="D511" s="226" t="s">
        <v>450</v>
      </c>
      <c r="E511" s="226" t="s">
        <v>451</v>
      </c>
      <c r="F511" s="226" t="s">
        <v>92</v>
      </c>
      <c r="G511" s="226" t="s">
        <v>548</v>
      </c>
      <c r="H511" s="250">
        <v>621</v>
      </c>
      <c r="I511" s="432" t="s">
        <v>551</v>
      </c>
      <c r="J511" s="41"/>
      <c r="K511" s="14"/>
      <c r="L511" s="35">
        <v>101359.4</v>
      </c>
      <c r="M511" s="35">
        <v>106015.8</v>
      </c>
      <c r="N511" s="35">
        <v>66199.199999999997</v>
      </c>
      <c r="O511" s="25">
        <f t="shared" si="227"/>
        <v>111807.6</v>
      </c>
      <c r="P511" s="35">
        <v>111807.6</v>
      </c>
      <c r="Q511" s="25">
        <v>0</v>
      </c>
      <c r="R511" s="65">
        <f t="shared" ref="R511:R539" si="230">S511+T511</f>
        <v>110771.8</v>
      </c>
      <c r="S511" s="35">
        <v>110771.8</v>
      </c>
      <c r="T511" s="25">
        <v>0</v>
      </c>
      <c r="U511" s="25">
        <f t="shared" ref="U511:U539" si="231">V511+W511</f>
        <v>111888.2</v>
      </c>
      <c r="V511" s="35">
        <v>111888.2</v>
      </c>
      <c r="W511" s="25">
        <v>0</v>
      </c>
    </row>
    <row r="512" spans="1:23" s="2" customFormat="1" ht="19.899999999999999" customHeight="1">
      <c r="A512" s="407"/>
      <c r="B512" s="427"/>
      <c r="C512" s="424"/>
      <c r="D512" s="226" t="s">
        <v>450</v>
      </c>
      <c r="E512" s="226" t="s">
        <v>451</v>
      </c>
      <c r="F512" s="226" t="s">
        <v>92</v>
      </c>
      <c r="G512" s="226" t="s">
        <v>1048</v>
      </c>
      <c r="H512" s="250">
        <v>621</v>
      </c>
      <c r="I512" s="432"/>
      <c r="J512" s="41"/>
      <c r="K512" s="14"/>
      <c r="L512" s="35">
        <v>3855.3</v>
      </c>
      <c r="M512" s="35">
        <v>0</v>
      </c>
      <c r="N512" s="35">
        <v>0</v>
      </c>
      <c r="O512" s="25">
        <f t="shared" si="227"/>
        <v>0</v>
      </c>
      <c r="P512" s="35">
        <v>0</v>
      </c>
      <c r="Q512" s="25">
        <v>0</v>
      </c>
      <c r="R512" s="65">
        <f t="shared" si="230"/>
        <v>0</v>
      </c>
      <c r="S512" s="35">
        <v>0</v>
      </c>
      <c r="T512" s="25">
        <v>0</v>
      </c>
      <c r="U512" s="25">
        <f t="shared" si="231"/>
        <v>0</v>
      </c>
      <c r="V512" s="35">
        <v>0</v>
      </c>
      <c r="W512" s="25">
        <v>0</v>
      </c>
    </row>
    <row r="513" spans="1:23" s="2" customFormat="1" ht="88.9" customHeight="1">
      <c r="A513" s="407"/>
      <c r="B513" s="427"/>
      <c r="C513" s="424"/>
      <c r="D513" s="226" t="s">
        <v>450</v>
      </c>
      <c r="E513" s="226" t="s">
        <v>451</v>
      </c>
      <c r="F513" s="226" t="s">
        <v>92</v>
      </c>
      <c r="G513" s="226" t="s">
        <v>1325</v>
      </c>
      <c r="H513" s="250">
        <v>621</v>
      </c>
      <c r="I513" s="432"/>
      <c r="J513" s="41"/>
      <c r="K513" s="14"/>
      <c r="L513" s="35">
        <v>0</v>
      </c>
      <c r="M513" s="35">
        <v>7440.7</v>
      </c>
      <c r="N513" s="35">
        <v>3127.6</v>
      </c>
      <c r="O513" s="25">
        <f t="shared" si="227"/>
        <v>0</v>
      </c>
      <c r="P513" s="35">
        <v>0</v>
      </c>
      <c r="Q513" s="25">
        <v>0</v>
      </c>
      <c r="R513" s="65">
        <f t="shared" si="230"/>
        <v>0</v>
      </c>
      <c r="S513" s="35">
        <v>0</v>
      </c>
      <c r="T513" s="25">
        <v>0</v>
      </c>
      <c r="U513" s="25">
        <f t="shared" si="231"/>
        <v>0</v>
      </c>
      <c r="V513" s="35">
        <v>0</v>
      </c>
      <c r="W513" s="25">
        <v>0</v>
      </c>
    </row>
    <row r="514" spans="1:23" s="2" customFormat="1" ht="43.9" customHeight="1">
      <c r="A514" s="407"/>
      <c r="B514" s="427"/>
      <c r="C514" s="424"/>
      <c r="D514" s="226" t="s">
        <v>450</v>
      </c>
      <c r="E514" s="226" t="s">
        <v>451</v>
      </c>
      <c r="F514" s="226" t="s">
        <v>92</v>
      </c>
      <c r="G514" s="226" t="s">
        <v>549</v>
      </c>
      <c r="H514" s="250">
        <v>621</v>
      </c>
      <c r="I514" s="56"/>
      <c r="J514" s="41"/>
      <c r="K514" s="14"/>
      <c r="L514" s="35">
        <v>4591.6000000000004</v>
      </c>
      <c r="M514" s="35">
        <v>9350.9</v>
      </c>
      <c r="N514" s="35">
        <v>8062.1</v>
      </c>
      <c r="O514" s="25">
        <f t="shared" si="227"/>
        <v>8288.2000000000007</v>
      </c>
      <c r="P514" s="35">
        <v>8288.2000000000007</v>
      </c>
      <c r="Q514" s="25">
        <v>0</v>
      </c>
      <c r="R514" s="65">
        <f t="shared" si="230"/>
        <v>8211.4</v>
      </c>
      <c r="S514" s="35">
        <v>8211.4</v>
      </c>
      <c r="T514" s="25">
        <v>0</v>
      </c>
      <c r="U514" s="25">
        <f t="shared" si="231"/>
        <v>8294.2000000000007</v>
      </c>
      <c r="V514" s="35">
        <v>8294.2000000000007</v>
      </c>
      <c r="W514" s="25">
        <v>0</v>
      </c>
    </row>
    <row r="515" spans="1:23" s="2" customFormat="1" ht="36.6" customHeight="1">
      <c r="A515" s="269" t="s">
        <v>40</v>
      </c>
      <c r="B515" s="230" t="s">
        <v>39</v>
      </c>
      <c r="C515" s="115"/>
      <c r="D515" s="226"/>
      <c r="E515" s="226"/>
      <c r="F515" s="226"/>
      <c r="G515" s="226"/>
      <c r="H515" s="250">
        <v>600</v>
      </c>
      <c r="I515" s="348"/>
      <c r="J515" s="41"/>
      <c r="K515" s="14"/>
      <c r="L515" s="25">
        <f>L516+L523+L526+L540</f>
        <v>44952.499999999985</v>
      </c>
      <c r="M515" s="25">
        <f>M516+M523+M526+M540</f>
        <v>33688.299999999996</v>
      </c>
      <c r="N515" s="25">
        <f>N516+N523+N526+N540</f>
        <v>20372.099999999999</v>
      </c>
      <c r="O515" s="25">
        <f>P515+Q515</f>
        <v>69092.3</v>
      </c>
      <c r="P515" s="25">
        <f>P516+P523+P526+P540</f>
        <v>69092.3</v>
      </c>
      <c r="Q515" s="25">
        <f>Q516+Q523+Q526+Q540</f>
        <v>0</v>
      </c>
      <c r="R515" s="37">
        <f>S515+T515</f>
        <v>34116.400000000001</v>
      </c>
      <c r="S515" s="25">
        <f>S516+S523+S526+S540</f>
        <v>34116.400000000001</v>
      </c>
      <c r="T515" s="25"/>
      <c r="U515" s="25">
        <f t="shared" si="231"/>
        <v>34467.899999999994</v>
      </c>
      <c r="V515" s="25">
        <f>V516+V523+V526+V540</f>
        <v>34467.899999999994</v>
      </c>
      <c r="W515" s="25">
        <f>W516+W523+W526+W540</f>
        <v>0</v>
      </c>
    </row>
    <row r="516" spans="1:23" s="2" customFormat="1" ht="31.9" customHeight="1">
      <c r="A516" s="407" t="s">
        <v>46</v>
      </c>
      <c r="B516" s="617" t="s">
        <v>552</v>
      </c>
      <c r="C516" s="408"/>
      <c r="D516" s="226"/>
      <c r="E516" s="226"/>
      <c r="F516" s="226"/>
      <c r="G516" s="226"/>
      <c r="H516" s="250"/>
      <c r="I516" s="348"/>
      <c r="J516" s="41"/>
      <c r="K516" s="383"/>
      <c r="L516" s="67">
        <f>L517+L518+L521+L522+L520+L519</f>
        <v>3928.5</v>
      </c>
      <c r="M516" s="67">
        <f t="shared" ref="M516:W516" si="232">M517+M518+M521+M522+M520+M519</f>
        <v>6932.9</v>
      </c>
      <c r="N516" s="67">
        <f t="shared" si="232"/>
        <v>6274.4</v>
      </c>
      <c r="O516" s="67">
        <f t="shared" si="232"/>
        <v>4763.2</v>
      </c>
      <c r="P516" s="67">
        <f t="shared" si="232"/>
        <v>4763.2</v>
      </c>
      <c r="Q516" s="67">
        <f t="shared" si="232"/>
        <v>0</v>
      </c>
      <c r="R516" s="67">
        <f t="shared" si="232"/>
        <v>4714.1000000000004</v>
      </c>
      <c r="S516" s="67">
        <f t="shared" si="232"/>
        <v>4714.1000000000004</v>
      </c>
      <c r="T516" s="67">
        <f t="shared" si="232"/>
        <v>0</v>
      </c>
      <c r="U516" s="67">
        <f t="shared" si="232"/>
        <v>4778</v>
      </c>
      <c r="V516" s="67">
        <f t="shared" si="232"/>
        <v>4778</v>
      </c>
      <c r="W516" s="67">
        <f t="shared" si="232"/>
        <v>0</v>
      </c>
    </row>
    <row r="517" spans="1:23" s="2" customFormat="1" ht="34.5" customHeight="1">
      <c r="A517" s="407"/>
      <c r="B517" s="230" t="s">
        <v>553</v>
      </c>
      <c r="C517" s="408"/>
      <c r="D517" s="226" t="s">
        <v>607</v>
      </c>
      <c r="E517" s="226" t="s">
        <v>146</v>
      </c>
      <c r="F517" s="226" t="s">
        <v>146</v>
      </c>
      <c r="G517" s="226" t="s">
        <v>554</v>
      </c>
      <c r="H517" s="250">
        <v>622</v>
      </c>
      <c r="I517" s="56"/>
      <c r="J517" s="41"/>
      <c r="K517" s="383"/>
      <c r="L517" s="25">
        <v>48.4</v>
      </c>
      <c r="M517" s="25">
        <v>42.9</v>
      </c>
      <c r="N517" s="25">
        <v>18.8</v>
      </c>
      <c r="O517" s="25">
        <f t="shared" ref="O517:O522" si="233">P517+Q517</f>
        <v>42.6</v>
      </c>
      <c r="P517" s="25">
        <v>42.6</v>
      </c>
      <c r="Q517" s="25">
        <v>0</v>
      </c>
      <c r="R517" s="25">
        <f t="shared" ref="R517:R522" si="234">S517+T517</f>
        <v>42.6</v>
      </c>
      <c r="S517" s="25">
        <v>42.6</v>
      </c>
      <c r="T517" s="25">
        <v>0</v>
      </c>
      <c r="U517" s="25">
        <f t="shared" ref="U517:U522" si="235">V517+W517</f>
        <v>42.7</v>
      </c>
      <c r="V517" s="25">
        <v>42.7</v>
      </c>
      <c r="W517" s="25">
        <v>0</v>
      </c>
    </row>
    <row r="518" spans="1:23" s="2" customFormat="1" ht="39.75" customHeight="1">
      <c r="A518" s="407"/>
      <c r="B518" s="230" t="s">
        <v>555</v>
      </c>
      <c r="C518" s="408"/>
      <c r="D518" s="226" t="s">
        <v>524</v>
      </c>
      <c r="E518" s="226" t="s">
        <v>451</v>
      </c>
      <c r="F518" s="226" t="s">
        <v>92</v>
      </c>
      <c r="G518" s="226" t="s">
        <v>528</v>
      </c>
      <c r="H518" s="250">
        <v>622</v>
      </c>
      <c r="I518" s="56"/>
      <c r="J518" s="41"/>
      <c r="K518" s="383"/>
      <c r="L518" s="25">
        <v>3249.4</v>
      </c>
      <c r="M518" s="25">
        <v>6325.8</v>
      </c>
      <c r="N518" s="25">
        <v>5770.4</v>
      </c>
      <c r="O518" s="25">
        <f t="shared" si="233"/>
        <v>4313.8999999999996</v>
      </c>
      <c r="P518" s="25">
        <v>4313.8999999999996</v>
      </c>
      <c r="Q518" s="25">
        <v>0</v>
      </c>
      <c r="R518" s="25">
        <f t="shared" si="234"/>
        <v>4264.3</v>
      </c>
      <c r="S518" s="25">
        <v>4264.3</v>
      </c>
      <c r="T518" s="25">
        <v>0</v>
      </c>
      <c r="U518" s="25">
        <f t="shared" si="235"/>
        <v>4317.8</v>
      </c>
      <c r="V518" s="25">
        <v>4317.8</v>
      </c>
      <c r="W518" s="25">
        <v>0</v>
      </c>
    </row>
    <row r="519" spans="1:23" s="2" customFormat="1" ht="21.75" customHeight="1">
      <c r="A519" s="407"/>
      <c r="B519" s="230" t="s">
        <v>556</v>
      </c>
      <c r="C519" s="408"/>
      <c r="D519" s="226" t="s">
        <v>524</v>
      </c>
      <c r="E519" s="226" t="s">
        <v>451</v>
      </c>
      <c r="F519" s="226" t="s">
        <v>92</v>
      </c>
      <c r="G519" s="226" t="s">
        <v>557</v>
      </c>
      <c r="H519" s="250">
        <v>622</v>
      </c>
      <c r="I519" s="56"/>
      <c r="J519" s="41"/>
      <c r="K519" s="383"/>
      <c r="L519" s="25">
        <v>472.5</v>
      </c>
      <c r="M519" s="25">
        <v>422.4</v>
      </c>
      <c r="N519" s="25">
        <v>422.4</v>
      </c>
      <c r="O519" s="25">
        <f>P519+Q519</f>
        <v>386.4</v>
      </c>
      <c r="P519" s="25">
        <v>386.4</v>
      </c>
      <c r="Q519" s="25">
        <v>0</v>
      </c>
      <c r="R519" s="25">
        <f t="shared" si="234"/>
        <v>386.9</v>
      </c>
      <c r="S519" s="25">
        <v>386.9</v>
      </c>
      <c r="T519" s="25">
        <v>0</v>
      </c>
      <c r="U519" s="25">
        <f t="shared" si="235"/>
        <v>397</v>
      </c>
      <c r="V519" s="25">
        <v>397</v>
      </c>
      <c r="W519" s="25">
        <v>0</v>
      </c>
    </row>
    <row r="520" spans="1:23" s="2" customFormat="1" ht="39.75" customHeight="1">
      <c r="A520" s="407"/>
      <c r="B520" s="230" t="s">
        <v>558</v>
      </c>
      <c r="C520" s="408"/>
      <c r="D520" s="226" t="s">
        <v>454</v>
      </c>
      <c r="E520" s="226" t="s">
        <v>451</v>
      </c>
      <c r="F520" s="226" t="s">
        <v>92</v>
      </c>
      <c r="G520" s="226" t="s">
        <v>192</v>
      </c>
      <c r="H520" s="250">
        <v>622</v>
      </c>
      <c r="I520" s="56"/>
      <c r="J520" s="41"/>
      <c r="K520" s="383"/>
      <c r="L520" s="25">
        <v>138</v>
      </c>
      <c r="M520" s="25">
        <v>121.3</v>
      </c>
      <c r="N520" s="25">
        <v>50</v>
      </c>
      <c r="O520" s="25">
        <f t="shared" ref="O520" si="236">P520+Q520</f>
        <v>0</v>
      </c>
      <c r="P520" s="25">
        <v>0</v>
      </c>
      <c r="Q520" s="25">
        <v>0</v>
      </c>
      <c r="R520" s="25">
        <f t="shared" si="234"/>
        <v>0</v>
      </c>
      <c r="S520" s="25">
        <v>0</v>
      </c>
      <c r="T520" s="25">
        <v>0</v>
      </c>
      <c r="U520" s="25">
        <f t="shared" si="235"/>
        <v>0</v>
      </c>
      <c r="V520" s="25">
        <v>0</v>
      </c>
      <c r="W520" s="25">
        <v>0</v>
      </c>
    </row>
    <row r="521" spans="1:23" s="2" customFormat="1" ht="39.75" customHeight="1">
      <c r="A521" s="407"/>
      <c r="B521" s="230" t="s">
        <v>559</v>
      </c>
      <c r="C521" s="408"/>
      <c r="D521" s="226" t="s">
        <v>450</v>
      </c>
      <c r="E521" s="226" t="s">
        <v>451</v>
      </c>
      <c r="F521" s="226" t="s">
        <v>93</v>
      </c>
      <c r="G521" s="226" t="s">
        <v>452</v>
      </c>
      <c r="H521" s="250">
        <v>622</v>
      </c>
      <c r="I521" s="56"/>
      <c r="J521" s="41"/>
      <c r="K521" s="383"/>
      <c r="L521" s="25">
        <v>14</v>
      </c>
      <c r="M521" s="25">
        <v>14</v>
      </c>
      <c r="N521" s="25">
        <v>6.6</v>
      </c>
      <c r="O521" s="25">
        <f t="shared" si="233"/>
        <v>14</v>
      </c>
      <c r="P521" s="25">
        <v>14</v>
      </c>
      <c r="Q521" s="25">
        <v>0</v>
      </c>
      <c r="R521" s="37">
        <f t="shared" si="234"/>
        <v>14</v>
      </c>
      <c r="S521" s="25">
        <v>14</v>
      </c>
      <c r="T521" s="25">
        <v>0</v>
      </c>
      <c r="U521" s="25">
        <f t="shared" si="235"/>
        <v>14</v>
      </c>
      <c r="V521" s="25">
        <v>14</v>
      </c>
      <c r="W521" s="25">
        <v>0</v>
      </c>
    </row>
    <row r="522" spans="1:23" s="2" customFormat="1" ht="18.75" customHeight="1">
      <c r="A522" s="407"/>
      <c r="B522" s="230" t="s">
        <v>560</v>
      </c>
      <c r="C522" s="408"/>
      <c r="D522" s="226" t="s">
        <v>561</v>
      </c>
      <c r="E522" s="226" t="s">
        <v>80</v>
      </c>
      <c r="F522" s="226" t="s">
        <v>144</v>
      </c>
      <c r="G522" s="226" t="s">
        <v>562</v>
      </c>
      <c r="H522" s="250">
        <v>622</v>
      </c>
      <c r="I522" s="56"/>
      <c r="J522" s="41"/>
      <c r="K522" s="383"/>
      <c r="L522" s="25">
        <v>6.2</v>
      </c>
      <c r="M522" s="25">
        <v>6.5</v>
      </c>
      <c r="N522" s="25">
        <v>6.2</v>
      </c>
      <c r="O522" s="25">
        <f t="shared" si="233"/>
        <v>6.3</v>
      </c>
      <c r="P522" s="25">
        <v>6.3</v>
      </c>
      <c r="Q522" s="25">
        <v>0</v>
      </c>
      <c r="R522" s="37">
        <f t="shared" si="234"/>
        <v>6.3</v>
      </c>
      <c r="S522" s="25">
        <v>6.3</v>
      </c>
      <c r="T522" s="25">
        <v>0</v>
      </c>
      <c r="U522" s="25">
        <f t="shared" si="235"/>
        <v>6.5</v>
      </c>
      <c r="V522" s="25">
        <v>6.5</v>
      </c>
      <c r="W522" s="25">
        <v>0</v>
      </c>
    </row>
    <row r="523" spans="1:23" s="2" customFormat="1" ht="39" customHeight="1">
      <c r="A523" s="407" t="s">
        <v>563</v>
      </c>
      <c r="B523" s="617" t="s">
        <v>564</v>
      </c>
      <c r="C523" s="424" t="s">
        <v>565</v>
      </c>
      <c r="D523" s="226"/>
      <c r="E523" s="226"/>
      <c r="F523" s="226"/>
      <c r="G523" s="226"/>
      <c r="H523" s="250"/>
      <c r="I523" s="56"/>
      <c r="J523" s="41"/>
      <c r="K523" s="14"/>
      <c r="L523" s="67">
        <f>L524+L525</f>
        <v>487.1</v>
      </c>
      <c r="M523" s="67">
        <f t="shared" ref="M523:W523" si="237">M524+M525</f>
        <v>3878.9</v>
      </c>
      <c r="N523" s="67">
        <f t="shared" si="237"/>
        <v>964</v>
      </c>
      <c r="O523" s="67">
        <f t="shared" si="237"/>
        <v>439.1</v>
      </c>
      <c r="P523" s="67">
        <f t="shared" si="237"/>
        <v>439.1</v>
      </c>
      <c r="Q523" s="67">
        <f t="shared" si="237"/>
        <v>0</v>
      </c>
      <c r="R523" s="67">
        <f t="shared" si="237"/>
        <v>435</v>
      </c>
      <c r="S523" s="67">
        <f t="shared" si="237"/>
        <v>435</v>
      </c>
      <c r="T523" s="67">
        <f t="shared" si="237"/>
        <v>0</v>
      </c>
      <c r="U523" s="67">
        <f t="shared" si="237"/>
        <v>439.4</v>
      </c>
      <c r="V523" s="67">
        <f t="shared" si="237"/>
        <v>439.4</v>
      </c>
      <c r="W523" s="67">
        <f t="shared" si="237"/>
        <v>0</v>
      </c>
    </row>
    <row r="524" spans="1:23" s="2" customFormat="1" ht="18.75" customHeight="1">
      <c r="A524" s="407"/>
      <c r="B524" s="230" t="s">
        <v>566</v>
      </c>
      <c r="C524" s="424"/>
      <c r="D524" s="226" t="s">
        <v>450</v>
      </c>
      <c r="E524" s="226" t="s">
        <v>451</v>
      </c>
      <c r="F524" s="226" t="s">
        <v>92</v>
      </c>
      <c r="G524" s="226" t="s">
        <v>536</v>
      </c>
      <c r="H524" s="250">
        <v>622</v>
      </c>
      <c r="I524" s="56"/>
      <c r="J524" s="41"/>
      <c r="K524" s="14"/>
      <c r="L524" s="35">
        <v>446.1</v>
      </c>
      <c r="M524" s="35">
        <v>3878.9</v>
      </c>
      <c r="N524" s="35">
        <v>964</v>
      </c>
      <c r="O524" s="25">
        <f t="shared" si="227"/>
        <v>439.1</v>
      </c>
      <c r="P524" s="35">
        <v>439.1</v>
      </c>
      <c r="Q524" s="35">
        <v>0</v>
      </c>
      <c r="R524" s="35">
        <f t="shared" si="230"/>
        <v>435</v>
      </c>
      <c r="S524" s="35">
        <v>435</v>
      </c>
      <c r="T524" s="35">
        <v>0</v>
      </c>
      <c r="U524" s="25">
        <f t="shared" si="231"/>
        <v>439.4</v>
      </c>
      <c r="V524" s="35">
        <v>439.4</v>
      </c>
      <c r="W524" s="35">
        <v>0</v>
      </c>
    </row>
    <row r="525" spans="1:23" s="2" customFormat="1" ht="41.25" customHeight="1">
      <c r="A525" s="407"/>
      <c r="B525" s="230" t="s">
        <v>558</v>
      </c>
      <c r="C525" s="424"/>
      <c r="D525" s="226" t="s">
        <v>454</v>
      </c>
      <c r="E525" s="226" t="s">
        <v>451</v>
      </c>
      <c r="F525" s="226" t="s">
        <v>92</v>
      </c>
      <c r="G525" s="226" t="s">
        <v>192</v>
      </c>
      <c r="H525" s="250">
        <v>622</v>
      </c>
      <c r="I525" s="432" t="s">
        <v>1326</v>
      </c>
      <c r="J525" s="41"/>
      <c r="K525" s="14"/>
      <c r="L525" s="35">
        <v>41</v>
      </c>
      <c r="M525" s="35">
        <v>0</v>
      </c>
      <c r="N525" s="35">
        <v>0</v>
      </c>
      <c r="O525" s="25">
        <f t="shared" si="227"/>
        <v>0</v>
      </c>
      <c r="P525" s="35">
        <v>0</v>
      </c>
      <c r="Q525" s="35">
        <v>0</v>
      </c>
      <c r="R525" s="65">
        <f t="shared" si="230"/>
        <v>0</v>
      </c>
      <c r="S525" s="35">
        <v>0</v>
      </c>
      <c r="T525" s="35">
        <v>0</v>
      </c>
      <c r="U525" s="25">
        <f t="shared" si="231"/>
        <v>0</v>
      </c>
      <c r="V525" s="35">
        <v>0</v>
      </c>
      <c r="W525" s="35">
        <v>0</v>
      </c>
    </row>
    <row r="526" spans="1:23" s="2" customFormat="1" ht="38.25" customHeight="1">
      <c r="A526" s="407" t="s">
        <v>568</v>
      </c>
      <c r="B526" s="617" t="s">
        <v>569</v>
      </c>
      <c r="C526" s="424" t="s">
        <v>570</v>
      </c>
      <c r="D526" s="226"/>
      <c r="E526" s="226"/>
      <c r="F526" s="226"/>
      <c r="G526" s="226"/>
      <c r="H526" s="250"/>
      <c r="I526" s="432"/>
      <c r="J526" s="41"/>
      <c r="K526" s="14"/>
      <c r="L526" s="68">
        <f>L527+L529+L530+L531+L532+L533+L534+L535+L536+L537+L538+L539+L528</f>
        <v>37178.299999999988</v>
      </c>
      <c r="M526" s="68">
        <f t="shared" ref="M526:W526" si="238">M527+M529+M530+M531+M532+M533+M534+M535+M536+M537+M538+M539+M528</f>
        <v>21456.799999999996</v>
      </c>
      <c r="N526" s="68">
        <f t="shared" si="238"/>
        <v>13133.7</v>
      </c>
      <c r="O526" s="68">
        <f t="shared" si="238"/>
        <v>21628.699999999997</v>
      </c>
      <c r="P526" s="68">
        <f t="shared" si="238"/>
        <v>21628.699999999997</v>
      </c>
      <c r="Q526" s="68">
        <f t="shared" si="238"/>
        <v>0</v>
      </c>
      <c r="R526" s="68">
        <f t="shared" si="238"/>
        <v>21431.200000000001</v>
      </c>
      <c r="S526" s="68">
        <f t="shared" si="238"/>
        <v>21431.200000000001</v>
      </c>
      <c r="T526" s="68">
        <f t="shared" si="238"/>
        <v>0</v>
      </c>
      <c r="U526" s="68">
        <f t="shared" si="238"/>
        <v>21638.399999999998</v>
      </c>
      <c r="V526" s="68">
        <f t="shared" si="238"/>
        <v>21638.399999999998</v>
      </c>
      <c r="W526" s="68">
        <f t="shared" si="238"/>
        <v>0</v>
      </c>
    </row>
    <row r="527" spans="1:23" s="2" customFormat="1" ht="38.25" customHeight="1">
      <c r="A527" s="407"/>
      <c r="B527" s="230" t="s">
        <v>553</v>
      </c>
      <c r="C527" s="424"/>
      <c r="D527" s="226" t="s">
        <v>607</v>
      </c>
      <c r="E527" s="226" t="s">
        <v>146</v>
      </c>
      <c r="F527" s="226" t="s">
        <v>146</v>
      </c>
      <c r="G527" s="226" t="s">
        <v>554</v>
      </c>
      <c r="H527" s="250">
        <v>622</v>
      </c>
      <c r="I527" s="432"/>
      <c r="J527" s="41" t="s">
        <v>516</v>
      </c>
      <c r="K527" s="14"/>
      <c r="L527" s="35">
        <v>49.7</v>
      </c>
      <c r="M527" s="25">
        <v>50.3</v>
      </c>
      <c r="N527" s="25">
        <v>27.6</v>
      </c>
      <c r="O527" s="25">
        <f t="shared" ref="O527:O544" si="239">P527+Q527</f>
        <v>43.6</v>
      </c>
      <c r="P527" s="25">
        <v>43.6</v>
      </c>
      <c r="Q527" s="25">
        <v>0</v>
      </c>
      <c r="R527" s="65">
        <f t="shared" si="230"/>
        <v>42.8</v>
      </c>
      <c r="S527" s="25">
        <v>42.8</v>
      </c>
      <c r="T527" s="25">
        <v>0</v>
      </c>
      <c r="U527" s="25">
        <f t="shared" si="231"/>
        <v>43.6</v>
      </c>
      <c r="V527" s="25">
        <v>43.6</v>
      </c>
      <c r="W527" s="25">
        <v>0</v>
      </c>
    </row>
    <row r="528" spans="1:23" s="4" customFormat="1" ht="60" customHeight="1">
      <c r="A528" s="407"/>
      <c r="B528" s="230" t="s">
        <v>1049</v>
      </c>
      <c r="C528" s="424"/>
      <c r="D528" s="226" t="s">
        <v>1050</v>
      </c>
      <c r="E528" s="226" t="s">
        <v>93</v>
      </c>
      <c r="F528" s="226" t="s">
        <v>82</v>
      </c>
      <c r="G528" s="226" t="s">
        <v>1051</v>
      </c>
      <c r="H528" s="250">
        <v>622</v>
      </c>
      <c r="I528" s="432"/>
      <c r="J528" s="41"/>
      <c r="K528" s="14"/>
      <c r="L528" s="35">
        <v>0</v>
      </c>
      <c r="M528" s="25">
        <v>126.3</v>
      </c>
      <c r="N528" s="25">
        <v>54.4</v>
      </c>
      <c r="O528" s="25">
        <f t="shared" si="239"/>
        <v>113.3</v>
      </c>
      <c r="P528" s="25">
        <v>113.3</v>
      </c>
      <c r="Q528" s="25">
        <v>0</v>
      </c>
      <c r="R528" s="25">
        <f t="shared" si="230"/>
        <v>112.3</v>
      </c>
      <c r="S528" s="25">
        <v>112.3</v>
      </c>
      <c r="T528" s="25">
        <v>0</v>
      </c>
      <c r="U528" s="25">
        <f t="shared" si="231"/>
        <v>113.4</v>
      </c>
      <c r="V528" s="25">
        <v>113.4</v>
      </c>
      <c r="W528" s="25">
        <v>0</v>
      </c>
    </row>
    <row r="529" spans="1:23" s="4" customFormat="1" ht="22.15" customHeight="1">
      <c r="A529" s="407"/>
      <c r="B529" s="230" t="s">
        <v>571</v>
      </c>
      <c r="C529" s="424"/>
      <c r="D529" s="226" t="s">
        <v>450</v>
      </c>
      <c r="E529" s="226" t="s">
        <v>451</v>
      </c>
      <c r="F529" s="226" t="s">
        <v>92</v>
      </c>
      <c r="G529" s="226" t="s">
        <v>550</v>
      </c>
      <c r="H529" s="250">
        <v>622</v>
      </c>
      <c r="I529" s="432"/>
      <c r="J529" s="41"/>
      <c r="K529" s="14"/>
      <c r="L529" s="35">
        <v>24024.1</v>
      </c>
      <c r="M529" s="25">
        <v>18093.900000000001</v>
      </c>
      <c r="N529" s="25">
        <v>11179.6</v>
      </c>
      <c r="O529" s="25">
        <f t="shared" si="239"/>
        <v>19858.5</v>
      </c>
      <c r="P529" s="25">
        <v>19858.5</v>
      </c>
      <c r="Q529" s="25">
        <v>0</v>
      </c>
      <c r="R529" s="35">
        <f t="shared" si="230"/>
        <v>19674.5</v>
      </c>
      <c r="S529" s="25">
        <v>19674.5</v>
      </c>
      <c r="T529" s="25">
        <v>0</v>
      </c>
      <c r="U529" s="25">
        <f t="shared" si="231"/>
        <v>19872.8</v>
      </c>
      <c r="V529" s="25">
        <v>19872.8</v>
      </c>
      <c r="W529" s="25">
        <v>0</v>
      </c>
    </row>
    <row r="530" spans="1:23" s="4" customFormat="1" ht="75" customHeight="1">
      <c r="A530" s="407"/>
      <c r="B530" s="230" t="s">
        <v>572</v>
      </c>
      <c r="C530" s="424"/>
      <c r="D530" s="226" t="s">
        <v>450</v>
      </c>
      <c r="E530" s="226" t="s">
        <v>451</v>
      </c>
      <c r="F530" s="226" t="s">
        <v>92</v>
      </c>
      <c r="G530" s="226" t="s">
        <v>317</v>
      </c>
      <c r="H530" s="250">
        <v>622</v>
      </c>
      <c r="I530" s="432"/>
      <c r="J530" s="41"/>
      <c r="K530" s="14"/>
      <c r="L530" s="35">
        <v>1013.5</v>
      </c>
      <c r="M530" s="25">
        <v>936.6</v>
      </c>
      <c r="N530" s="25">
        <v>936.6</v>
      </c>
      <c r="O530" s="25">
        <f t="shared" si="239"/>
        <v>915</v>
      </c>
      <c r="P530" s="25">
        <v>915</v>
      </c>
      <c r="Q530" s="25">
        <v>0</v>
      </c>
      <c r="R530" s="35">
        <f t="shared" si="230"/>
        <v>910</v>
      </c>
      <c r="S530" s="25">
        <v>910</v>
      </c>
      <c r="T530" s="25">
        <v>0</v>
      </c>
      <c r="U530" s="25">
        <f t="shared" si="231"/>
        <v>910</v>
      </c>
      <c r="V530" s="25">
        <v>910</v>
      </c>
      <c r="W530" s="25">
        <v>0</v>
      </c>
    </row>
    <row r="531" spans="1:23" s="4" customFormat="1" ht="93.75" customHeight="1">
      <c r="A531" s="407"/>
      <c r="B531" s="230" t="s">
        <v>1052</v>
      </c>
      <c r="C531" s="424"/>
      <c r="D531" s="226" t="s">
        <v>450</v>
      </c>
      <c r="E531" s="226" t="s">
        <v>451</v>
      </c>
      <c r="F531" s="226" t="s">
        <v>92</v>
      </c>
      <c r="G531" s="226" t="s">
        <v>573</v>
      </c>
      <c r="H531" s="250">
        <v>622</v>
      </c>
      <c r="I531" s="432"/>
      <c r="J531" s="41"/>
      <c r="K531" s="14"/>
      <c r="L531" s="35">
        <v>9827.2999999999993</v>
      </c>
      <c r="M531" s="25">
        <v>0</v>
      </c>
      <c r="N531" s="25">
        <v>0</v>
      </c>
      <c r="O531" s="25">
        <f t="shared" si="239"/>
        <v>0</v>
      </c>
      <c r="P531" s="25">
        <v>0</v>
      </c>
      <c r="Q531" s="25">
        <v>0</v>
      </c>
      <c r="R531" s="65">
        <f t="shared" si="230"/>
        <v>0</v>
      </c>
      <c r="S531" s="25">
        <v>0</v>
      </c>
      <c r="T531" s="25">
        <v>0</v>
      </c>
      <c r="U531" s="25">
        <f t="shared" si="231"/>
        <v>0</v>
      </c>
      <c r="V531" s="25">
        <v>0</v>
      </c>
      <c r="W531" s="25">
        <v>0</v>
      </c>
    </row>
    <row r="532" spans="1:23" s="3" customFormat="1" ht="43.15" customHeight="1">
      <c r="A532" s="407"/>
      <c r="B532" s="230" t="s">
        <v>567</v>
      </c>
      <c r="C532" s="424"/>
      <c r="D532" s="226" t="s">
        <v>450</v>
      </c>
      <c r="E532" s="226" t="s">
        <v>451</v>
      </c>
      <c r="F532" s="226" t="s">
        <v>92</v>
      </c>
      <c r="G532" s="226" t="s">
        <v>549</v>
      </c>
      <c r="H532" s="250">
        <v>622</v>
      </c>
      <c r="I532" s="432"/>
      <c r="J532" s="41"/>
      <c r="K532" s="14"/>
      <c r="L532" s="35">
        <v>105.2</v>
      </c>
      <c r="M532" s="25">
        <v>150</v>
      </c>
      <c r="N532" s="25">
        <v>150</v>
      </c>
      <c r="O532" s="25">
        <f t="shared" si="239"/>
        <v>0</v>
      </c>
      <c r="P532" s="25">
        <v>0</v>
      </c>
      <c r="Q532" s="25">
        <v>0</v>
      </c>
      <c r="R532" s="65">
        <f t="shared" si="230"/>
        <v>0</v>
      </c>
      <c r="S532" s="25">
        <v>0</v>
      </c>
      <c r="T532" s="25">
        <v>0</v>
      </c>
      <c r="U532" s="25">
        <f t="shared" si="231"/>
        <v>0</v>
      </c>
      <c r="V532" s="25">
        <v>0</v>
      </c>
      <c r="W532" s="25">
        <v>0</v>
      </c>
    </row>
    <row r="533" spans="1:23" s="18" customFormat="1" ht="80.45" customHeight="1">
      <c r="A533" s="407"/>
      <c r="B533" s="230" t="s">
        <v>574</v>
      </c>
      <c r="C533" s="424"/>
      <c r="D533" s="226" t="s">
        <v>450</v>
      </c>
      <c r="E533" s="226" t="s">
        <v>451</v>
      </c>
      <c r="F533" s="226" t="s">
        <v>92</v>
      </c>
      <c r="G533" s="226" t="s">
        <v>575</v>
      </c>
      <c r="H533" s="250">
        <v>622</v>
      </c>
      <c r="I533" s="432"/>
      <c r="J533" s="41"/>
      <c r="K533" s="14"/>
      <c r="L533" s="35">
        <v>0</v>
      </c>
      <c r="M533" s="25">
        <v>69.7</v>
      </c>
      <c r="N533" s="25">
        <v>69.7</v>
      </c>
      <c r="O533" s="25">
        <f t="shared" si="239"/>
        <v>0</v>
      </c>
      <c r="P533" s="25">
        <v>0</v>
      </c>
      <c r="Q533" s="25">
        <v>0</v>
      </c>
      <c r="R533" s="65">
        <f t="shared" si="230"/>
        <v>0</v>
      </c>
      <c r="S533" s="25">
        <v>0</v>
      </c>
      <c r="T533" s="25">
        <v>0</v>
      </c>
      <c r="U533" s="25">
        <f t="shared" si="231"/>
        <v>0</v>
      </c>
      <c r="V533" s="25">
        <v>0</v>
      </c>
      <c r="W533" s="25">
        <v>0</v>
      </c>
    </row>
    <row r="534" spans="1:23" s="18" customFormat="1" ht="56.45" customHeight="1">
      <c r="A534" s="407"/>
      <c r="B534" s="230" t="s">
        <v>558</v>
      </c>
      <c r="C534" s="424"/>
      <c r="D534" s="226" t="s">
        <v>454</v>
      </c>
      <c r="E534" s="226" t="s">
        <v>451</v>
      </c>
      <c r="F534" s="226" t="s">
        <v>92</v>
      </c>
      <c r="G534" s="226" t="s">
        <v>192</v>
      </c>
      <c r="H534" s="250">
        <v>622</v>
      </c>
      <c r="I534" s="56"/>
      <c r="J534" s="41"/>
      <c r="K534" s="14"/>
      <c r="L534" s="35">
        <v>1249.7</v>
      </c>
      <c r="M534" s="25">
        <v>1080.5999999999999</v>
      </c>
      <c r="N534" s="25">
        <v>371.8</v>
      </c>
      <c r="O534" s="25">
        <f t="shared" si="239"/>
        <v>0</v>
      </c>
      <c r="P534" s="25">
        <v>0</v>
      </c>
      <c r="Q534" s="25">
        <v>0</v>
      </c>
      <c r="R534" s="65">
        <f t="shared" si="230"/>
        <v>0</v>
      </c>
      <c r="S534" s="25">
        <v>0</v>
      </c>
      <c r="T534" s="25">
        <v>0</v>
      </c>
      <c r="U534" s="25">
        <f t="shared" si="231"/>
        <v>0</v>
      </c>
      <c r="V534" s="25">
        <v>0</v>
      </c>
      <c r="W534" s="25">
        <v>0</v>
      </c>
    </row>
    <row r="535" spans="1:23" s="5" customFormat="1" ht="87.75" customHeight="1">
      <c r="A535" s="407"/>
      <c r="B535" s="230" t="s">
        <v>576</v>
      </c>
      <c r="C535" s="424"/>
      <c r="D535" s="226" t="s">
        <v>450</v>
      </c>
      <c r="E535" s="226" t="s">
        <v>451</v>
      </c>
      <c r="F535" s="226" t="s">
        <v>93</v>
      </c>
      <c r="G535" s="226" t="s">
        <v>452</v>
      </c>
      <c r="H535" s="250">
        <v>622</v>
      </c>
      <c r="I535" s="56"/>
      <c r="J535" s="41"/>
      <c r="K535" s="14"/>
      <c r="L535" s="35">
        <v>266.60000000000002</v>
      </c>
      <c r="M535" s="25">
        <v>421.1</v>
      </c>
      <c r="N535" s="25">
        <v>42.7</v>
      </c>
      <c r="O535" s="25">
        <f t="shared" si="239"/>
        <v>214.5</v>
      </c>
      <c r="P535" s="25">
        <v>214.5</v>
      </c>
      <c r="Q535" s="25">
        <v>0</v>
      </c>
      <c r="R535" s="65">
        <f t="shared" si="230"/>
        <v>212.4</v>
      </c>
      <c r="S535" s="25">
        <v>212.4</v>
      </c>
      <c r="T535" s="25">
        <v>0</v>
      </c>
      <c r="U535" s="25">
        <f t="shared" si="231"/>
        <v>214.7</v>
      </c>
      <c r="V535" s="25">
        <v>214.7</v>
      </c>
      <c r="W535" s="25">
        <v>0</v>
      </c>
    </row>
    <row r="536" spans="1:23" s="18" customFormat="1" ht="21" customHeight="1">
      <c r="A536" s="407"/>
      <c r="B536" s="230" t="s">
        <v>560</v>
      </c>
      <c r="C536" s="424"/>
      <c r="D536" s="226" t="s">
        <v>561</v>
      </c>
      <c r="E536" s="226" t="s">
        <v>80</v>
      </c>
      <c r="F536" s="226" t="s">
        <v>144</v>
      </c>
      <c r="G536" s="226" t="s">
        <v>562</v>
      </c>
      <c r="H536" s="250">
        <v>622</v>
      </c>
      <c r="I536" s="56"/>
      <c r="J536" s="41"/>
      <c r="K536" s="14"/>
      <c r="L536" s="35">
        <v>413.5</v>
      </c>
      <c r="M536" s="25">
        <v>297.2</v>
      </c>
      <c r="N536" s="25">
        <v>172.5</v>
      </c>
      <c r="O536" s="25">
        <f t="shared" si="239"/>
        <v>249.6</v>
      </c>
      <c r="P536" s="25">
        <v>249.6</v>
      </c>
      <c r="Q536" s="25">
        <v>0</v>
      </c>
      <c r="R536" s="65">
        <f t="shared" si="230"/>
        <v>247.2</v>
      </c>
      <c r="S536" s="25">
        <v>247.2</v>
      </c>
      <c r="T536" s="25">
        <v>0</v>
      </c>
      <c r="U536" s="25">
        <f t="shared" si="231"/>
        <v>249.6</v>
      </c>
      <c r="V536" s="25">
        <v>249.6</v>
      </c>
      <c r="W536" s="25">
        <v>0</v>
      </c>
    </row>
    <row r="537" spans="1:23" s="47" customFormat="1" ht="56.25">
      <c r="A537" s="407"/>
      <c r="B537" s="230" t="s">
        <v>577</v>
      </c>
      <c r="C537" s="424"/>
      <c r="D537" s="226" t="s">
        <v>561</v>
      </c>
      <c r="E537" s="226" t="s">
        <v>80</v>
      </c>
      <c r="F537" s="226" t="s">
        <v>144</v>
      </c>
      <c r="G537" s="226" t="s">
        <v>495</v>
      </c>
      <c r="H537" s="250">
        <v>622</v>
      </c>
      <c r="I537" s="56"/>
      <c r="J537" s="41"/>
      <c r="K537" s="14"/>
      <c r="L537" s="35">
        <v>64.8</v>
      </c>
      <c r="M537" s="25">
        <v>19.100000000000001</v>
      </c>
      <c r="N537" s="25">
        <v>0</v>
      </c>
      <c r="O537" s="25">
        <f t="shared" si="239"/>
        <v>17.7</v>
      </c>
      <c r="P537" s="25">
        <v>17.7</v>
      </c>
      <c r="Q537" s="35">
        <v>0</v>
      </c>
      <c r="R537" s="65">
        <f t="shared" si="230"/>
        <v>17.5</v>
      </c>
      <c r="S537" s="25">
        <v>17.5</v>
      </c>
      <c r="T537" s="35">
        <v>0</v>
      </c>
      <c r="U537" s="25">
        <f t="shared" si="231"/>
        <v>17.7</v>
      </c>
      <c r="V537" s="25">
        <v>17.7</v>
      </c>
      <c r="W537" s="35">
        <v>0</v>
      </c>
    </row>
    <row r="538" spans="1:23" ht="93.75">
      <c r="A538" s="407"/>
      <c r="B538" s="230" t="s">
        <v>578</v>
      </c>
      <c r="C538" s="424"/>
      <c r="D538" s="226" t="s">
        <v>561</v>
      </c>
      <c r="E538" s="226" t="s">
        <v>80</v>
      </c>
      <c r="F538" s="226" t="s">
        <v>144</v>
      </c>
      <c r="G538" s="226" t="s">
        <v>579</v>
      </c>
      <c r="H538" s="250">
        <v>622</v>
      </c>
      <c r="I538" s="56"/>
      <c r="J538" s="41"/>
      <c r="K538" s="14"/>
      <c r="L538" s="35">
        <v>19.2</v>
      </c>
      <c r="M538" s="25">
        <v>18.2</v>
      </c>
      <c r="N538" s="25">
        <v>0</v>
      </c>
      <c r="O538" s="25">
        <f t="shared" si="239"/>
        <v>24.8</v>
      </c>
      <c r="P538" s="25">
        <v>24.8</v>
      </c>
      <c r="Q538" s="35">
        <v>0</v>
      </c>
      <c r="R538" s="35">
        <f t="shared" si="230"/>
        <v>24.6</v>
      </c>
      <c r="S538" s="25">
        <v>24.6</v>
      </c>
      <c r="T538" s="35">
        <v>0</v>
      </c>
      <c r="U538" s="25">
        <f t="shared" si="231"/>
        <v>24.8</v>
      </c>
      <c r="V538" s="25">
        <v>24.8</v>
      </c>
      <c r="W538" s="35">
        <v>0</v>
      </c>
    </row>
    <row r="539" spans="1:23">
      <c r="A539" s="407"/>
      <c r="B539" s="230" t="s">
        <v>580</v>
      </c>
      <c r="C539" s="424"/>
      <c r="D539" s="226" t="s">
        <v>561</v>
      </c>
      <c r="E539" s="226" t="s">
        <v>80</v>
      </c>
      <c r="F539" s="226" t="s">
        <v>144</v>
      </c>
      <c r="G539" s="226" t="s">
        <v>581</v>
      </c>
      <c r="H539" s="250">
        <v>622</v>
      </c>
      <c r="I539" s="56"/>
      <c r="J539" s="41"/>
      <c r="K539" s="14"/>
      <c r="L539" s="35">
        <v>144.69999999999999</v>
      </c>
      <c r="M539" s="25">
        <v>193.8</v>
      </c>
      <c r="N539" s="25">
        <v>128.80000000000001</v>
      </c>
      <c r="O539" s="25">
        <f t="shared" si="239"/>
        <v>191.7</v>
      </c>
      <c r="P539" s="25">
        <v>191.7</v>
      </c>
      <c r="Q539" s="35">
        <v>0</v>
      </c>
      <c r="R539" s="65">
        <f t="shared" si="230"/>
        <v>189.9</v>
      </c>
      <c r="S539" s="25">
        <v>189.9</v>
      </c>
      <c r="T539" s="35">
        <v>0</v>
      </c>
      <c r="U539" s="25">
        <f t="shared" si="231"/>
        <v>191.8</v>
      </c>
      <c r="V539" s="25">
        <v>191.8</v>
      </c>
      <c r="W539" s="35">
        <v>0</v>
      </c>
    </row>
    <row r="540" spans="1:23" ht="19.5">
      <c r="A540" s="269" t="s">
        <v>582</v>
      </c>
      <c r="B540" s="618" t="s">
        <v>583</v>
      </c>
      <c r="C540" s="349"/>
      <c r="D540" s="226"/>
      <c r="E540" s="226"/>
      <c r="F540" s="226"/>
      <c r="G540" s="226"/>
      <c r="H540" s="250"/>
      <c r="I540" s="56"/>
      <c r="J540" s="41"/>
      <c r="K540" s="14"/>
      <c r="L540" s="68">
        <f>L541+L542+L544+L543</f>
        <v>3358.6</v>
      </c>
      <c r="M540" s="68">
        <f t="shared" ref="M540:W540" si="240">M541+M542+M544+M543</f>
        <v>1419.7</v>
      </c>
      <c r="N540" s="68">
        <f t="shared" si="240"/>
        <v>0</v>
      </c>
      <c r="O540" s="68">
        <f t="shared" si="240"/>
        <v>42261.3</v>
      </c>
      <c r="P540" s="68">
        <f t="shared" si="240"/>
        <v>42261.3</v>
      </c>
      <c r="Q540" s="68">
        <f t="shared" si="240"/>
        <v>0</v>
      </c>
      <c r="R540" s="68">
        <f t="shared" si="240"/>
        <v>7536.1</v>
      </c>
      <c r="S540" s="68">
        <f t="shared" si="240"/>
        <v>7536.1</v>
      </c>
      <c r="T540" s="68">
        <f t="shared" si="240"/>
        <v>0</v>
      </c>
      <c r="U540" s="68">
        <f t="shared" si="240"/>
        <v>7612.1</v>
      </c>
      <c r="V540" s="68">
        <f t="shared" si="240"/>
        <v>7612.1</v>
      </c>
      <c r="W540" s="68">
        <f t="shared" si="240"/>
        <v>0</v>
      </c>
    </row>
    <row r="541" spans="1:23" ht="56.25">
      <c r="A541" s="269"/>
      <c r="B541" s="229" t="s">
        <v>584</v>
      </c>
      <c r="C541" s="349"/>
      <c r="D541" s="226" t="s">
        <v>661</v>
      </c>
      <c r="E541" s="226" t="s">
        <v>146</v>
      </c>
      <c r="F541" s="226" t="s">
        <v>95</v>
      </c>
      <c r="G541" s="226" t="s">
        <v>543</v>
      </c>
      <c r="H541" s="250">
        <v>622</v>
      </c>
      <c r="I541" s="56"/>
      <c r="J541" s="41"/>
      <c r="K541" s="14"/>
      <c r="L541" s="35">
        <v>40</v>
      </c>
      <c r="M541" s="25">
        <v>1419.7</v>
      </c>
      <c r="N541" s="25">
        <v>0</v>
      </c>
      <c r="O541" s="25">
        <f t="shared" si="239"/>
        <v>8476.2000000000007</v>
      </c>
      <c r="P541" s="25">
        <v>8476.2000000000007</v>
      </c>
      <c r="Q541" s="25">
        <v>0</v>
      </c>
      <c r="R541" s="35">
        <f t="shared" ref="R541:R544" si="241">S541+T541</f>
        <v>7536.1</v>
      </c>
      <c r="S541" s="25">
        <v>7536.1</v>
      </c>
      <c r="T541" s="25">
        <v>0</v>
      </c>
      <c r="U541" s="25">
        <f t="shared" ref="U541" si="242">V541+W541</f>
        <v>7612.1</v>
      </c>
      <c r="V541" s="25">
        <v>7612.1</v>
      </c>
      <c r="W541" s="25">
        <v>0</v>
      </c>
    </row>
    <row r="542" spans="1:23" ht="112.5">
      <c r="A542" s="269"/>
      <c r="B542" s="229" t="s">
        <v>586</v>
      </c>
      <c r="C542" s="349"/>
      <c r="D542" s="226" t="s">
        <v>661</v>
      </c>
      <c r="E542" s="226" t="s">
        <v>146</v>
      </c>
      <c r="F542" s="226" t="s">
        <v>95</v>
      </c>
      <c r="G542" s="226" t="s">
        <v>587</v>
      </c>
      <c r="H542" s="250">
        <v>622</v>
      </c>
      <c r="I542" s="56"/>
      <c r="J542" s="41"/>
      <c r="K542" s="14"/>
      <c r="L542" s="35">
        <v>3179.1</v>
      </c>
      <c r="M542" s="35">
        <v>0</v>
      </c>
      <c r="N542" s="35">
        <v>0</v>
      </c>
      <c r="O542" s="25">
        <f t="shared" si="239"/>
        <v>10109.4</v>
      </c>
      <c r="P542" s="35">
        <v>10109.4</v>
      </c>
      <c r="Q542" s="35">
        <v>0</v>
      </c>
      <c r="R542" s="35">
        <f t="shared" si="241"/>
        <v>0</v>
      </c>
      <c r="S542" s="35">
        <v>0</v>
      </c>
      <c r="T542" s="35">
        <v>0</v>
      </c>
      <c r="U542" s="25">
        <f>V542+W542</f>
        <v>0</v>
      </c>
      <c r="V542" s="35">
        <v>0</v>
      </c>
      <c r="W542" s="35">
        <v>0</v>
      </c>
    </row>
    <row r="543" spans="1:23" ht="93.75">
      <c r="A543" s="269"/>
      <c r="B543" s="229" t="s">
        <v>1327</v>
      </c>
      <c r="C543" s="349"/>
      <c r="D543" s="226" t="s">
        <v>661</v>
      </c>
      <c r="E543" s="226" t="s">
        <v>146</v>
      </c>
      <c r="F543" s="226" t="s">
        <v>95</v>
      </c>
      <c r="G543" s="226" t="s">
        <v>1328</v>
      </c>
      <c r="H543" s="250">
        <v>622</v>
      </c>
      <c r="I543" s="56"/>
      <c r="J543" s="41"/>
      <c r="K543" s="14"/>
      <c r="L543" s="35">
        <v>0</v>
      </c>
      <c r="M543" s="35">
        <v>0</v>
      </c>
      <c r="N543" s="35">
        <v>0</v>
      </c>
      <c r="O543" s="25">
        <f t="shared" si="239"/>
        <v>23675.7</v>
      </c>
      <c r="P543" s="35">
        <v>23675.7</v>
      </c>
      <c r="Q543" s="35">
        <v>0</v>
      </c>
      <c r="R543" s="35">
        <f t="shared" si="241"/>
        <v>0</v>
      </c>
      <c r="S543" s="35">
        <v>0</v>
      </c>
      <c r="T543" s="35">
        <v>0</v>
      </c>
      <c r="U543" s="25">
        <f>V543+W543</f>
        <v>0</v>
      </c>
      <c r="V543" s="35">
        <v>0</v>
      </c>
      <c r="W543" s="35">
        <v>0</v>
      </c>
    </row>
    <row r="544" spans="1:23" ht="93.75">
      <c r="A544" s="269"/>
      <c r="B544" s="229" t="s">
        <v>574</v>
      </c>
      <c r="C544" s="349"/>
      <c r="D544" s="226" t="s">
        <v>661</v>
      </c>
      <c r="E544" s="226" t="s">
        <v>146</v>
      </c>
      <c r="F544" s="226" t="s">
        <v>95</v>
      </c>
      <c r="G544" s="226" t="s">
        <v>1053</v>
      </c>
      <c r="H544" s="250">
        <v>622</v>
      </c>
      <c r="I544" s="56"/>
      <c r="J544" s="41"/>
      <c r="K544" s="14"/>
      <c r="L544" s="35">
        <v>139.5</v>
      </c>
      <c r="M544" s="35">
        <v>0</v>
      </c>
      <c r="N544" s="35">
        <v>0</v>
      </c>
      <c r="O544" s="25">
        <f t="shared" si="239"/>
        <v>0</v>
      </c>
      <c r="P544" s="35">
        <v>0</v>
      </c>
      <c r="Q544" s="35">
        <v>0</v>
      </c>
      <c r="R544" s="35">
        <f t="shared" si="241"/>
        <v>0</v>
      </c>
      <c r="S544" s="35">
        <v>0</v>
      </c>
      <c r="T544" s="35">
        <v>0</v>
      </c>
      <c r="U544" s="25">
        <f>V544+W544</f>
        <v>0</v>
      </c>
      <c r="V544" s="35">
        <v>0</v>
      </c>
      <c r="W544" s="35">
        <v>0</v>
      </c>
    </row>
    <row r="545" spans="1:23" ht="56.25">
      <c r="A545" s="629" t="s">
        <v>147</v>
      </c>
      <c r="B545" s="180" t="s">
        <v>402</v>
      </c>
      <c r="C545" s="8"/>
      <c r="D545" s="644"/>
      <c r="E545" s="644"/>
      <c r="F545" s="644"/>
      <c r="G545" s="644"/>
      <c r="H545" s="644"/>
      <c r="I545" s="8"/>
      <c r="J545" s="8"/>
      <c r="K545" s="8" t="s">
        <v>62</v>
      </c>
      <c r="L545" s="19">
        <f>SUM(L546,L567,L569,L571)</f>
        <v>77499.899999999994</v>
      </c>
      <c r="M545" s="19">
        <f t="shared" ref="M545:W545" si="243">SUM(M546,M567,M569,M571)</f>
        <v>68615.5</v>
      </c>
      <c r="N545" s="19">
        <f t="shared" si="243"/>
        <v>38557.899999999994</v>
      </c>
      <c r="O545" s="19">
        <f t="shared" si="243"/>
        <v>58258</v>
      </c>
      <c r="P545" s="19">
        <f t="shared" si="243"/>
        <v>58258</v>
      </c>
      <c r="Q545" s="19">
        <f t="shared" si="243"/>
        <v>0</v>
      </c>
      <c r="R545" s="19">
        <f t="shared" si="243"/>
        <v>57718.3</v>
      </c>
      <c r="S545" s="19">
        <f t="shared" si="243"/>
        <v>57718.3</v>
      </c>
      <c r="T545" s="19">
        <f t="shared" si="243"/>
        <v>0</v>
      </c>
      <c r="U545" s="19">
        <f t="shared" si="243"/>
        <v>58299.799999999996</v>
      </c>
      <c r="V545" s="19">
        <f t="shared" si="243"/>
        <v>58299.799999999996</v>
      </c>
      <c r="W545" s="19">
        <f t="shared" si="243"/>
        <v>0</v>
      </c>
    </row>
    <row r="546" spans="1:23">
      <c r="A546" s="641" t="s">
        <v>9</v>
      </c>
      <c r="B546" s="506" t="s">
        <v>67</v>
      </c>
      <c r="C546" s="506"/>
      <c r="D546" s="506"/>
      <c r="E546" s="506"/>
      <c r="F546" s="506"/>
      <c r="G546" s="506"/>
      <c r="H546" s="506"/>
      <c r="I546" s="506"/>
      <c r="J546" s="506"/>
      <c r="K546" s="506"/>
      <c r="L546" s="316">
        <f>SUM(L547,L550,L555,L563)</f>
        <v>68256.800000000003</v>
      </c>
      <c r="M546" s="316">
        <f t="shared" ref="M546:W546" si="244">SUM(M547,M550,M555,M563)</f>
        <v>60438.7</v>
      </c>
      <c r="N546" s="316">
        <f t="shared" si="244"/>
        <v>30383.1</v>
      </c>
      <c r="O546" s="316">
        <f t="shared" si="244"/>
        <v>58258</v>
      </c>
      <c r="P546" s="316">
        <f t="shared" si="244"/>
        <v>58258</v>
      </c>
      <c r="Q546" s="316">
        <f t="shared" si="244"/>
        <v>0</v>
      </c>
      <c r="R546" s="316">
        <f t="shared" si="244"/>
        <v>57718.3</v>
      </c>
      <c r="S546" s="316">
        <f t="shared" si="244"/>
        <v>57718.3</v>
      </c>
      <c r="T546" s="316">
        <f t="shared" si="244"/>
        <v>0</v>
      </c>
      <c r="U546" s="316">
        <f t="shared" si="244"/>
        <v>58299.799999999996</v>
      </c>
      <c r="V546" s="316">
        <f t="shared" si="244"/>
        <v>58299.799999999996</v>
      </c>
      <c r="W546" s="316">
        <f t="shared" si="244"/>
        <v>0</v>
      </c>
    </row>
    <row r="547" spans="1:23">
      <c r="A547" s="317" t="s">
        <v>57</v>
      </c>
      <c r="B547" s="318"/>
      <c r="C547" s="330"/>
      <c r="D547" s="332"/>
      <c r="E547" s="298"/>
      <c r="F547" s="298"/>
      <c r="G547" s="298"/>
      <c r="H547" s="298"/>
      <c r="I547" s="596"/>
      <c r="J547" s="330"/>
      <c r="K547" s="332"/>
      <c r="L547" s="319">
        <f>SUM(L548:L549)</f>
        <v>33250.300000000003</v>
      </c>
      <c r="M547" s="319">
        <f>SUM(M548:M549)</f>
        <v>29286.7</v>
      </c>
      <c r="N547" s="319">
        <f>SUM(N548:N549)</f>
        <v>18385.2</v>
      </c>
      <c r="O547" s="319">
        <f>SUM(O548:O549)</f>
        <v>30718.2</v>
      </c>
      <c r="P547" s="319">
        <f>SUM(P548:P549)</f>
        <v>30718.2</v>
      </c>
      <c r="Q547" s="319">
        <f>SUM(Q548:Q549)</f>
        <v>0</v>
      </c>
      <c r="R547" s="319">
        <f>SUM(R548:R549)</f>
        <v>30433.599999999999</v>
      </c>
      <c r="S547" s="319">
        <f>SUM(S548:S549)</f>
        <v>30433.599999999999</v>
      </c>
      <c r="T547" s="319">
        <f>SUM(T548:T549)</f>
        <v>0</v>
      </c>
      <c r="U547" s="319">
        <f>SUM(U548:U549)</f>
        <v>30740.399999999998</v>
      </c>
      <c r="V547" s="319">
        <f>SUM(V548:V549)</f>
        <v>30740.399999999998</v>
      </c>
      <c r="W547" s="319">
        <f>SUM(W548:W549)</f>
        <v>0</v>
      </c>
    </row>
    <row r="548" spans="1:23" ht="326.25">
      <c r="A548" s="320" t="s">
        <v>10</v>
      </c>
      <c r="B548" s="318" t="s">
        <v>68</v>
      </c>
      <c r="C548" s="332"/>
      <c r="D548" s="300" t="s">
        <v>383</v>
      </c>
      <c r="E548" s="300" t="s">
        <v>92</v>
      </c>
      <c r="F548" s="298">
        <v>13</v>
      </c>
      <c r="G548" s="300" t="s">
        <v>1482</v>
      </c>
      <c r="H548" s="298">
        <v>100</v>
      </c>
      <c r="I548" s="597" t="s">
        <v>1483</v>
      </c>
      <c r="J548" s="598" t="s">
        <v>1484</v>
      </c>
      <c r="K548" s="332"/>
      <c r="L548" s="79">
        <v>30469.5</v>
      </c>
      <c r="M548" s="79">
        <f>28292.2-39.4</f>
        <v>28252.799999999999</v>
      </c>
      <c r="N548" s="79">
        <v>18079.5</v>
      </c>
      <c r="O548" s="79">
        <f>P548+Q548</f>
        <v>29810.2</v>
      </c>
      <c r="P548" s="79">
        <v>29810.2</v>
      </c>
      <c r="Q548" s="79">
        <v>0</v>
      </c>
      <c r="R548" s="79">
        <f>S548+T548</f>
        <v>29534.1</v>
      </c>
      <c r="S548" s="79">
        <v>29534.1</v>
      </c>
      <c r="T548" s="79">
        <v>0</v>
      </c>
      <c r="U548" s="79">
        <f>V548+W548</f>
        <v>29831.8</v>
      </c>
      <c r="V548" s="79">
        <v>29831.8</v>
      </c>
      <c r="W548" s="79">
        <v>0</v>
      </c>
    </row>
    <row r="549" spans="1:23" ht="60">
      <c r="A549" s="320" t="s">
        <v>11</v>
      </c>
      <c r="B549" s="318" t="s">
        <v>69</v>
      </c>
      <c r="C549" s="596"/>
      <c r="D549" s="300" t="s">
        <v>349</v>
      </c>
      <c r="E549" s="300" t="s">
        <v>92</v>
      </c>
      <c r="F549" s="298">
        <v>13</v>
      </c>
      <c r="G549" s="298">
        <v>1620100190</v>
      </c>
      <c r="H549" s="298">
        <v>200</v>
      </c>
      <c r="I549" s="599" t="s">
        <v>1485</v>
      </c>
      <c r="J549" s="600">
        <v>37902</v>
      </c>
      <c r="K549" s="102"/>
      <c r="L549" s="79">
        <v>2780.8</v>
      </c>
      <c r="M549" s="79">
        <v>1033.9000000000001</v>
      </c>
      <c r="N549" s="79">
        <v>305.7</v>
      </c>
      <c r="O549" s="79">
        <f>P549+Q549</f>
        <v>908</v>
      </c>
      <c r="P549" s="79">
        <v>908</v>
      </c>
      <c r="Q549" s="79">
        <v>0</v>
      </c>
      <c r="R549" s="79">
        <f>S549+T549</f>
        <v>899.5</v>
      </c>
      <c r="S549" s="79">
        <v>899.5</v>
      </c>
      <c r="T549" s="79">
        <v>0</v>
      </c>
      <c r="U549" s="79">
        <f>V549+W549</f>
        <v>908.6</v>
      </c>
      <c r="V549" s="79">
        <v>908.6</v>
      </c>
      <c r="W549" s="79">
        <v>0</v>
      </c>
    </row>
    <row r="550" spans="1:23">
      <c r="A550" s="505" t="s">
        <v>88</v>
      </c>
      <c r="B550" s="505"/>
      <c r="C550" s="505"/>
      <c r="D550" s="505"/>
      <c r="E550" s="505"/>
      <c r="F550" s="505"/>
      <c r="G550" s="505"/>
      <c r="H550" s="505"/>
      <c r="I550" s="505"/>
      <c r="J550" s="505"/>
      <c r="K550" s="505"/>
      <c r="L550" s="319">
        <f>SUM(L551,L553,)</f>
        <v>2987.7000000000003</v>
      </c>
      <c r="M550" s="319">
        <f t="shared" ref="M550:W550" si="245">SUM(M551,M553,)</f>
        <v>4114.6000000000004</v>
      </c>
      <c r="N550" s="319">
        <f t="shared" si="245"/>
        <v>2338.1</v>
      </c>
      <c r="O550" s="319">
        <f t="shared" si="245"/>
        <v>4257.2</v>
      </c>
      <c r="P550" s="319">
        <f t="shared" si="245"/>
        <v>4257.2</v>
      </c>
      <c r="Q550" s="319">
        <f t="shared" si="245"/>
        <v>0</v>
      </c>
      <c r="R550" s="319">
        <f t="shared" si="245"/>
        <v>4217.7</v>
      </c>
      <c r="S550" s="319">
        <f t="shared" si="245"/>
        <v>4217.7</v>
      </c>
      <c r="T550" s="319">
        <f t="shared" si="245"/>
        <v>0</v>
      </c>
      <c r="U550" s="319">
        <f t="shared" si="245"/>
        <v>4260.1000000000004</v>
      </c>
      <c r="V550" s="319">
        <f t="shared" si="245"/>
        <v>4260.1000000000004</v>
      </c>
      <c r="W550" s="319">
        <f t="shared" si="245"/>
        <v>0</v>
      </c>
    </row>
    <row r="551" spans="1:23">
      <c r="A551" s="320" t="s">
        <v>12</v>
      </c>
      <c r="B551" s="318" t="s">
        <v>58</v>
      </c>
      <c r="C551" s="332"/>
      <c r="D551" s="332"/>
      <c r="E551" s="298"/>
      <c r="F551" s="298"/>
      <c r="G551" s="298"/>
      <c r="H551" s="298">
        <v>100</v>
      </c>
      <c r="I551" s="596"/>
      <c r="J551" s="332"/>
      <c r="K551" s="332"/>
      <c r="L551" s="79">
        <f>SUM(L552:L552)</f>
        <v>2407.8000000000002</v>
      </c>
      <c r="M551" s="79">
        <f>SUM(M552:M552)</f>
        <v>3401</v>
      </c>
      <c r="N551" s="79">
        <v>2075.9</v>
      </c>
      <c r="O551" s="79">
        <f>SUM(O552:O552)</f>
        <v>3631.2</v>
      </c>
      <c r="P551" s="79">
        <f>SUM(P552:P552)</f>
        <v>3631.2</v>
      </c>
      <c r="Q551" s="79">
        <f>SUM(Q552:Q552)</f>
        <v>0</v>
      </c>
      <c r="R551" s="79">
        <f>SUM(R552:R552)</f>
        <v>3597.5</v>
      </c>
      <c r="S551" s="79">
        <f>SUM(S552:S552)</f>
        <v>3597.5</v>
      </c>
      <c r="T551" s="79">
        <f>SUM(T552:T552)</f>
        <v>0</v>
      </c>
      <c r="U551" s="79">
        <f>SUM(U552:U552)</f>
        <v>3633.8</v>
      </c>
      <c r="V551" s="79">
        <f>SUM(V552:V552)</f>
        <v>3633.8</v>
      </c>
      <c r="W551" s="79">
        <f>SUM(W552:W552)</f>
        <v>0</v>
      </c>
    </row>
    <row r="552" spans="1:23" ht="108">
      <c r="A552" s="320" t="s">
        <v>48</v>
      </c>
      <c r="B552" s="318" t="s">
        <v>1486</v>
      </c>
      <c r="C552" s="332"/>
      <c r="D552" s="300" t="s">
        <v>1487</v>
      </c>
      <c r="E552" s="300" t="s">
        <v>92</v>
      </c>
      <c r="F552" s="298">
        <v>13</v>
      </c>
      <c r="G552" s="298">
        <v>1620100590</v>
      </c>
      <c r="H552" s="298">
        <v>100</v>
      </c>
      <c r="I552" s="599" t="s">
        <v>1488</v>
      </c>
      <c r="J552" s="601" t="s">
        <v>1489</v>
      </c>
      <c r="K552" s="332"/>
      <c r="L552" s="79">
        <v>2407.8000000000002</v>
      </c>
      <c r="M552" s="79">
        <v>3401</v>
      </c>
      <c r="N552" s="79">
        <v>1259.5999999999999</v>
      </c>
      <c r="O552" s="79">
        <f>P552+Q552</f>
        <v>3631.2</v>
      </c>
      <c r="P552" s="79">
        <v>3631.2</v>
      </c>
      <c r="Q552" s="79">
        <v>0</v>
      </c>
      <c r="R552" s="79">
        <f>S552+T552</f>
        <v>3597.5</v>
      </c>
      <c r="S552" s="79">
        <v>3597.5</v>
      </c>
      <c r="T552" s="79">
        <v>0</v>
      </c>
      <c r="U552" s="79">
        <f>V552+W552</f>
        <v>3633.8</v>
      </c>
      <c r="V552" s="79">
        <v>3633.8</v>
      </c>
      <c r="W552" s="79">
        <v>0</v>
      </c>
    </row>
    <row r="553" spans="1:23" ht="37.5">
      <c r="A553" s="320" t="s">
        <v>13</v>
      </c>
      <c r="B553" s="318" t="s">
        <v>32</v>
      </c>
      <c r="C553" s="596"/>
      <c r="D553" s="102"/>
      <c r="E553" s="298"/>
      <c r="F553" s="298"/>
      <c r="G553" s="298"/>
      <c r="H553" s="298">
        <v>200</v>
      </c>
      <c r="I553" s="596"/>
      <c r="J553" s="596"/>
      <c r="K553" s="102"/>
      <c r="L553" s="79">
        <f>SUM(L554:L554)</f>
        <v>579.9</v>
      </c>
      <c r="M553" s="79">
        <f>SUM(M554:M554)</f>
        <v>713.6</v>
      </c>
      <c r="N553" s="79">
        <f>SUM(N554:N554)</f>
        <v>262.2</v>
      </c>
      <c r="O553" s="79">
        <f>SUM(O554:O554)</f>
        <v>626</v>
      </c>
      <c r="P553" s="79">
        <f>SUM(P554:P554)</f>
        <v>626</v>
      </c>
      <c r="Q553" s="79">
        <f>SUM(Q554:Q554)</f>
        <v>0</v>
      </c>
      <c r="R553" s="79">
        <f>SUM(R554:R554)</f>
        <v>620.20000000000005</v>
      </c>
      <c r="S553" s="79">
        <f>SUM(S554:S554)</f>
        <v>620.20000000000005</v>
      </c>
      <c r="T553" s="79">
        <f>SUM(T554:T554)</f>
        <v>0</v>
      </c>
      <c r="U553" s="79">
        <f>SUM(U554:U554)</f>
        <v>626.29999999999995</v>
      </c>
      <c r="V553" s="79">
        <f>SUM(V554:V554)</f>
        <v>626.29999999999995</v>
      </c>
      <c r="W553" s="79">
        <f>SUM(W554:W554)</f>
        <v>0</v>
      </c>
    </row>
    <row r="554" spans="1:23" ht="48">
      <c r="A554" s="320" t="s">
        <v>49</v>
      </c>
      <c r="B554" s="318" t="s">
        <v>1486</v>
      </c>
      <c r="C554" s="596"/>
      <c r="D554" s="300" t="s">
        <v>1487</v>
      </c>
      <c r="E554" s="300" t="s">
        <v>92</v>
      </c>
      <c r="F554" s="298">
        <v>13</v>
      </c>
      <c r="G554" s="298">
        <v>1620100590</v>
      </c>
      <c r="H554" s="298">
        <v>200</v>
      </c>
      <c r="I554" s="599" t="s">
        <v>1490</v>
      </c>
      <c r="J554" s="600">
        <v>37902</v>
      </c>
      <c r="K554" s="102"/>
      <c r="L554" s="79">
        <v>579.9</v>
      </c>
      <c r="M554" s="79">
        <v>713.6</v>
      </c>
      <c r="N554" s="79">
        <v>262.2</v>
      </c>
      <c r="O554" s="79">
        <f>Q554+P554</f>
        <v>626</v>
      </c>
      <c r="P554" s="79">
        <v>626</v>
      </c>
      <c r="Q554" s="79">
        <v>0</v>
      </c>
      <c r="R554" s="79">
        <f>S554+T554</f>
        <v>620.20000000000005</v>
      </c>
      <c r="S554" s="79">
        <v>620.20000000000005</v>
      </c>
      <c r="T554" s="79">
        <v>0</v>
      </c>
      <c r="U554" s="79">
        <f>V554+W554</f>
        <v>626.29999999999995</v>
      </c>
      <c r="V554" s="79">
        <v>626.29999999999995</v>
      </c>
      <c r="W554" s="79">
        <v>0</v>
      </c>
    </row>
    <row r="555" spans="1:23">
      <c r="A555" s="505" t="s">
        <v>73</v>
      </c>
      <c r="B555" s="505"/>
      <c r="C555" s="505"/>
      <c r="D555" s="505"/>
      <c r="E555" s="505"/>
      <c r="F555" s="505"/>
      <c r="G555" s="505"/>
      <c r="H555" s="505"/>
      <c r="I555" s="505"/>
      <c r="J555" s="505"/>
      <c r="K555" s="505"/>
      <c r="L555" s="321">
        <f>SUM(L556)</f>
        <v>13041.300000000001</v>
      </c>
      <c r="M555" s="321">
        <f t="shared" ref="M555:W555" si="246">SUM(M556)</f>
        <v>24197.7</v>
      </c>
      <c r="N555" s="321">
        <f t="shared" si="246"/>
        <v>9659.7999999999993</v>
      </c>
      <c r="O555" s="321">
        <f t="shared" si="246"/>
        <v>23182.6</v>
      </c>
      <c r="P555" s="321">
        <f t="shared" si="246"/>
        <v>23182.6</v>
      </c>
      <c r="Q555" s="321">
        <f t="shared" si="246"/>
        <v>0</v>
      </c>
      <c r="R555" s="321">
        <f t="shared" si="246"/>
        <v>21910.2</v>
      </c>
      <c r="S555" s="321">
        <f t="shared" si="246"/>
        <v>21910.2</v>
      </c>
      <c r="T555" s="321">
        <f t="shared" si="246"/>
        <v>0</v>
      </c>
      <c r="U555" s="321">
        <f t="shared" si="246"/>
        <v>19250.599999999999</v>
      </c>
      <c r="V555" s="321">
        <f t="shared" si="246"/>
        <v>19250.599999999999</v>
      </c>
      <c r="W555" s="321">
        <f t="shared" si="246"/>
        <v>0</v>
      </c>
    </row>
    <row r="556" spans="1:23" ht="37.5">
      <c r="A556" s="320" t="s">
        <v>21</v>
      </c>
      <c r="B556" s="318" t="s">
        <v>89</v>
      </c>
      <c r="C556" s="596"/>
      <c r="D556" s="102"/>
      <c r="E556" s="298"/>
      <c r="F556" s="298"/>
      <c r="G556" s="298"/>
      <c r="H556" s="298">
        <v>200</v>
      </c>
      <c r="I556" s="596"/>
      <c r="J556" s="596"/>
      <c r="K556" s="102"/>
      <c r="L556" s="79">
        <f>SUM(L557:L562)</f>
        <v>13041.300000000001</v>
      </c>
      <c r="M556" s="79">
        <f>SUM(M557:M562)</f>
        <v>24197.7</v>
      </c>
      <c r="N556" s="79">
        <f>SUM(N557:N562)</f>
        <v>9659.7999999999993</v>
      </c>
      <c r="O556" s="79">
        <f>SUM(O557:O562)</f>
        <v>23182.6</v>
      </c>
      <c r="P556" s="79">
        <f>SUM(P557:P562)</f>
        <v>23182.6</v>
      </c>
      <c r="Q556" s="79">
        <f>SUM(Q557:Q562)</f>
        <v>0</v>
      </c>
      <c r="R556" s="79">
        <f>SUM(R557:R562)</f>
        <v>21910.2</v>
      </c>
      <c r="S556" s="79">
        <f>SUM(S557:S562)</f>
        <v>21910.2</v>
      </c>
      <c r="T556" s="79">
        <f>SUM(T557:T562)</f>
        <v>0</v>
      </c>
      <c r="U556" s="79">
        <f>SUM(U557:U562)</f>
        <v>19250.599999999999</v>
      </c>
      <c r="V556" s="79">
        <f>SUM(V557:V562)</f>
        <v>19250.599999999999</v>
      </c>
      <c r="W556" s="79">
        <f>SUM(W557:W562)</f>
        <v>0</v>
      </c>
    </row>
    <row r="557" spans="1:23" ht="120">
      <c r="A557" s="320" t="s">
        <v>42</v>
      </c>
      <c r="B557" s="318" t="s">
        <v>1491</v>
      </c>
      <c r="C557" s="596"/>
      <c r="D557" s="300" t="s">
        <v>1487</v>
      </c>
      <c r="E557" s="300" t="s">
        <v>92</v>
      </c>
      <c r="F557" s="298">
        <v>13</v>
      </c>
      <c r="G557" s="298">
        <v>1610126000</v>
      </c>
      <c r="H557" s="298">
        <v>200</v>
      </c>
      <c r="I557" s="599" t="s">
        <v>1492</v>
      </c>
      <c r="J557" s="598" t="s">
        <v>1493</v>
      </c>
      <c r="K557" s="102"/>
      <c r="L557" s="79">
        <v>620.79999999999995</v>
      </c>
      <c r="M557" s="79">
        <v>2978.2</v>
      </c>
      <c r="N557" s="79">
        <v>102.1</v>
      </c>
      <c r="O557" s="79">
        <f t="shared" ref="O557:O562" si="247">SUM(P557:Q557)</f>
        <v>2615.3000000000002</v>
      </c>
      <c r="P557" s="79">
        <v>2615.3000000000002</v>
      </c>
      <c r="Q557" s="79">
        <v>0</v>
      </c>
      <c r="R557" s="79">
        <f t="shared" ref="R557:R562" si="248">SUM(S557:T557)</f>
        <v>2591.1</v>
      </c>
      <c r="S557" s="79">
        <v>2591.1</v>
      </c>
      <c r="T557" s="79">
        <v>0</v>
      </c>
      <c r="U557" s="79">
        <f t="shared" ref="U557:U562" si="249">SUM(V557:W557)</f>
        <v>2617.1999999999998</v>
      </c>
      <c r="V557" s="79">
        <v>2617.1999999999998</v>
      </c>
      <c r="W557" s="79">
        <v>0</v>
      </c>
    </row>
    <row r="558" spans="1:23" ht="120">
      <c r="A558" s="320" t="s">
        <v>74</v>
      </c>
      <c r="B558" s="318" t="s">
        <v>1494</v>
      </c>
      <c r="C558" s="596"/>
      <c r="D558" s="300" t="s">
        <v>1487</v>
      </c>
      <c r="E558" s="300" t="s">
        <v>92</v>
      </c>
      <c r="F558" s="298">
        <v>13</v>
      </c>
      <c r="G558" s="298" t="s">
        <v>1495</v>
      </c>
      <c r="H558" s="298">
        <v>200</v>
      </c>
      <c r="I558" s="599" t="s">
        <v>1492</v>
      </c>
      <c r="J558" s="598" t="s">
        <v>1496</v>
      </c>
      <c r="K558" s="102"/>
      <c r="L558" s="79">
        <v>3008.3</v>
      </c>
      <c r="M558" s="79">
        <v>7894.5</v>
      </c>
      <c r="N558" s="79">
        <v>2776.7</v>
      </c>
      <c r="O558" s="79">
        <f t="shared" si="247"/>
        <v>6493.3</v>
      </c>
      <c r="P558" s="79">
        <v>6493.3</v>
      </c>
      <c r="Q558" s="79">
        <v>0</v>
      </c>
      <c r="R558" s="79">
        <f t="shared" si="248"/>
        <v>6433.2</v>
      </c>
      <c r="S558" s="79">
        <v>6433.2</v>
      </c>
      <c r="T558" s="79">
        <v>0</v>
      </c>
      <c r="U558" s="79">
        <f t="shared" si="249"/>
        <v>6498</v>
      </c>
      <c r="V558" s="79">
        <v>6498</v>
      </c>
      <c r="W558" s="79">
        <v>0</v>
      </c>
    </row>
    <row r="559" spans="1:23" ht="120">
      <c r="A559" s="320" t="s">
        <v>488</v>
      </c>
      <c r="B559" s="318" t="s">
        <v>1497</v>
      </c>
      <c r="C559" s="596"/>
      <c r="D559" s="300" t="s">
        <v>1487</v>
      </c>
      <c r="E559" s="300" t="s">
        <v>92</v>
      </c>
      <c r="F559" s="298">
        <v>13</v>
      </c>
      <c r="G559" s="298">
        <v>1610326000</v>
      </c>
      <c r="H559" s="298">
        <v>200</v>
      </c>
      <c r="I559" s="599" t="s">
        <v>1492</v>
      </c>
      <c r="J559" s="598" t="s">
        <v>1493</v>
      </c>
      <c r="K559" s="102"/>
      <c r="L559" s="79">
        <v>968.8</v>
      </c>
      <c r="M559" s="79">
        <v>2589.8000000000002</v>
      </c>
      <c r="N559" s="79">
        <v>378.6</v>
      </c>
      <c r="O559" s="79">
        <f t="shared" si="247"/>
        <v>2274.1999999999998</v>
      </c>
      <c r="P559" s="79">
        <v>2274.1999999999998</v>
      </c>
      <c r="Q559" s="79">
        <v>0</v>
      </c>
      <c r="R559" s="79">
        <f t="shared" si="248"/>
        <v>2253.1</v>
      </c>
      <c r="S559" s="79">
        <v>2253.1</v>
      </c>
      <c r="T559" s="79">
        <v>0</v>
      </c>
      <c r="U559" s="79">
        <f t="shared" si="249"/>
        <v>2275.8000000000002</v>
      </c>
      <c r="V559" s="79">
        <v>2275.8000000000002</v>
      </c>
      <c r="W559" s="79">
        <v>0</v>
      </c>
    </row>
    <row r="560" spans="1:23" ht="96">
      <c r="A560" s="320" t="s">
        <v>489</v>
      </c>
      <c r="B560" s="318" t="s">
        <v>1498</v>
      </c>
      <c r="C560" s="596"/>
      <c r="D560" s="300" t="s">
        <v>1487</v>
      </c>
      <c r="E560" s="300" t="s">
        <v>92</v>
      </c>
      <c r="F560" s="298">
        <v>13</v>
      </c>
      <c r="G560" s="300">
        <v>1610426000</v>
      </c>
      <c r="H560" s="298" t="s">
        <v>1499</v>
      </c>
      <c r="I560" s="599" t="s">
        <v>1500</v>
      </c>
      <c r="J560" s="598" t="s">
        <v>1501</v>
      </c>
      <c r="K560" s="102"/>
      <c r="L560" s="79">
        <v>7766.5</v>
      </c>
      <c r="M560" s="79">
        <v>9958.2999999999993</v>
      </c>
      <c r="N560" s="79">
        <v>5957.2</v>
      </c>
      <c r="O560" s="79">
        <f t="shared" si="247"/>
        <v>10970.5</v>
      </c>
      <c r="P560" s="79">
        <v>10970.5</v>
      </c>
      <c r="Q560" s="79">
        <v>0</v>
      </c>
      <c r="R560" s="79">
        <f t="shared" si="248"/>
        <v>10040.9</v>
      </c>
      <c r="S560" s="79">
        <v>10040.9</v>
      </c>
      <c r="T560" s="79">
        <v>0</v>
      </c>
      <c r="U560" s="79">
        <f t="shared" si="249"/>
        <v>7261.8</v>
      </c>
      <c r="V560" s="79">
        <v>7261.8</v>
      </c>
      <c r="W560" s="79">
        <v>0</v>
      </c>
    </row>
    <row r="561" spans="1:23" ht="72">
      <c r="A561" s="320" t="s">
        <v>635</v>
      </c>
      <c r="B561" s="318" t="s">
        <v>1502</v>
      </c>
      <c r="C561" s="596"/>
      <c r="D561" s="300" t="s">
        <v>358</v>
      </c>
      <c r="E561" s="300" t="s">
        <v>98</v>
      </c>
      <c r="F561" s="300" t="s">
        <v>92</v>
      </c>
      <c r="G561" s="298" t="s">
        <v>487</v>
      </c>
      <c r="H561" s="298">
        <v>200</v>
      </c>
      <c r="I561" s="602" t="s">
        <v>1503</v>
      </c>
      <c r="J561" s="598" t="s">
        <v>1504</v>
      </c>
      <c r="K561" s="102"/>
      <c r="L561" s="79">
        <v>676.9</v>
      </c>
      <c r="M561" s="79">
        <v>676.9</v>
      </c>
      <c r="N561" s="79">
        <v>445.2</v>
      </c>
      <c r="O561" s="79">
        <f t="shared" si="247"/>
        <v>729.3</v>
      </c>
      <c r="P561" s="79">
        <v>729.3</v>
      </c>
      <c r="Q561" s="79">
        <v>0</v>
      </c>
      <c r="R561" s="79">
        <f t="shared" si="248"/>
        <v>591.9</v>
      </c>
      <c r="S561" s="79">
        <v>591.9</v>
      </c>
      <c r="T561" s="79">
        <v>0</v>
      </c>
      <c r="U561" s="79">
        <f t="shared" si="249"/>
        <v>597.79999999999995</v>
      </c>
      <c r="V561" s="79">
        <v>597.79999999999995</v>
      </c>
      <c r="W561" s="79">
        <v>0</v>
      </c>
    </row>
    <row r="562" spans="1:23" ht="120">
      <c r="A562" s="320" t="s">
        <v>1505</v>
      </c>
      <c r="B562" s="318" t="s">
        <v>1506</v>
      </c>
      <c r="C562" s="596"/>
      <c r="D562" s="300" t="s">
        <v>358</v>
      </c>
      <c r="E562" s="300" t="s">
        <v>98</v>
      </c>
      <c r="F562" s="300" t="s">
        <v>92</v>
      </c>
      <c r="G562" s="300" t="s">
        <v>1507</v>
      </c>
      <c r="H562" s="298">
        <v>200</v>
      </c>
      <c r="I562" s="599" t="s">
        <v>1492</v>
      </c>
      <c r="J562" s="598" t="s">
        <v>1496</v>
      </c>
      <c r="K562" s="102"/>
      <c r="L562" s="79"/>
      <c r="M562" s="79">
        <v>100</v>
      </c>
      <c r="N562" s="79">
        <v>0</v>
      </c>
      <c r="O562" s="79">
        <f t="shared" si="247"/>
        <v>100</v>
      </c>
      <c r="P562" s="79">
        <v>100</v>
      </c>
      <c r="Q562" s="79">
        <v>0</v>
      </c>
      <c r="R562" s="79">
        <f t="shared" si="248"/>
        <v>0</v>
      </c>
      <c r="S562" s="79">
        <v>0</v>
      </c>
      <c r="T562" s="79">
        <v>0</v>
      </c>
      <c r="U562" s="79">
        <f t="shared" si="249"/>
        <v>0</v>
      </c>
      <c r="V562" s="79">
        <v>0</v>
      </c>
      <c r="W562" s="79">
        <v>0</v>
      </c>
    </row>
    <row r="563" spans="1:23">
      <c r="A563" s="505" t="s">
        <v>874</v>
      </c>
      <c r="B563" s="505"/>
      <c r="C563" s="505"/>
      <c r="D563" s="505"/>
      <c r="E563" s="505"/>
      <c r="F563" s="505"/>
      <c r="G563" s="505"/>
      <c r="H563" s="505"/>
      <c r="I563" s="505"/>
      <c r="J563" s="505"/>
      <c r="K563" s="505"/>
      <c r="L563" s="321">
        <f>SUM(L564,)</f>
        <v>18977.5</v>
      </c>
      <c r="M563" s="321">
        <f t="shared" ref="M563:W563" si="250">SUM(M564,)</f>
        <v>2839.7</v>
      </c>
      <c r="N563" s="321">
        <f t="shared" si="250"/>
        <v>0</v>
      </c>
      <c r="O563" s="321">
        <f t="shared" si="250"/>
        <v>100</v>
      </c>
      <c r="P563" s="321">
        <f t="shared" si="250"/>
        <v>100</v>
      </c>
      <c r="Q563" s="321">
        <f t="shared" si="250"/>
        <v>0</v>
      </c>
      <c r="R563" s="321">
        <f t="shared" si="250"/>
        <v>1156.8</v>
      </c>
      <c r="S563" s="321">
        <f t="shared" si="250"/>
        <v>1156.8</v>
      </c>
      <c r="T563" s="321">
        <f t="shared" si="250"/>
        <v>0</v>
      </c>
      <c r="U563" s="321">
        <f t="shared" si="250"/>
        <v>4048.7</v>
      </c>
      <c r="V563" s="321">
        <f t="shared" si="250"/>
        <v>4048.7</v>
      </c>
      <c r="W563" s="321">
        <f t="shared" si="250"/>
        <v>0</v>
      </c>
    </row>
    <row r="564" spans="1:23">
      <c r="A564" s="603" t="s">
        <v>14</v>
      </c>
      <c r="B564" s="318" t="s">
        <v>875</v>
      </c>
      <c r="C564" s="330"/>
      <c r="D564" s="332"/>
      <c r="E564" s="298"/>
      <c r="F564" s="298"/>
      <c r="G564" s="298"/>
      <c r="H564" s="298">
        <v>400</v>
      </c>
      <c r="I564" s="596"/>
      <c r="J564" s="330"/>
      <c r="K564" s="332"/>
      <c r="L564" s="79">
        <f>SUM(L565:L566)</f>
        <v>18977.5</v>
      </c>
      <c r="M564" s="79">
        <f>SUM(M565:M566)</f>
        <v>2839.7</v>
      </c>
      <c r="N564" s="79">
        <f>SUM(N565:N566)</f>
        <v>0</v>
      </c>
      <c r="O564" s="79">
        <f>SUM(O565+O566)</f>
        <v>100</v>
      </c>
      <c r="P564" s="79">
        <f>SUM(P565:P566)</f>
        <v>100</v>
      </c>
      <c r="Q564" s="79">
        <f>SUM(Q565:Q566)</f>
        <v>0</v>
      </c>
      <c r="R564" s="79">
        <f>SUM(R565+R566)</f>
        <v>1156.8</v>
      </c>
      <c r="S564" s="79">
        <f>SUM(S565:S566)</f>
        <v>1156.8</v>
      </c>
      <c r="T564" s="79">
        <f>SUM(T565:T566)</f>
        <v>0</v>
      </c>
      <c r="U564" s="79">
        <f>SUM(U565+U566)</f>
        <v>4048.7</v>
      </c>
      <c r="V564" s="79">
        <f>SUM(V565:V566)</f>
        <v>4048.7</v>
      </c>
      <c r="W564" s="79">
        <f>SUM(W565:W566)</f>
        <v>0</v>
      </c>
    </row>
    <row r="565" spans="1:23" ht="288">
      <c r="A565" s="603" t="s">
        <v>876</v>
      </c>
      <c r="B565" s="318" t="s">
        <v>1508</v>
      </c>
      <c r="C565" s="330"/>
      <c r="D565" s="300" t="s">
        <v>358</v>
      </c>
      <c r="E565" s="300" t="s">
        <v>98</v>
      </c>
      <c r="F565" s="300" t="s">
        <v>92</v>
      </c>
      <c r="G565" s="298" t="s">
        <v>1509</v>
      </c>
      <c r="H565" s="298">
        <v>410</v>
      </c>
      <c r="I565" s="604" t="s">
        <v>1510</v>
      </c>
      <c r="J565" s="605" t="s">
        <v>1511</v>
      </c>
      <c r="K565" s="332"/>
      <c r="L565" s="79">
        <v>0</v>
      </c>
      <c r="M565" s="79">
        <v>0</v>
      </c>
      <c r="N565" s="79">
        <v>0</v>
      </c>
      <c r="O565" s="79">
        <f>P565</f>
        <v>100</v>
      </c>
      <c r="P565" s="79">
        <v>100</v>
      </c>
      <c r="Q565" s="79">
        <v>0</v>
      </c>
      <c r="R565" s="79">
        <f>S565</f>
        <v>1156.8</v>
      </c>
      <c r="S565" s="79">
        <v>1156.8</v>
      </c>
      <c r="T565" s="79">
        <v>0</v>
      </c>
      <c r="U565" s="79">
        <f>V565</f>
        <v>4048.7</v>
      </c>
      <c r="V565" s="79">
        <v>4048.7</v>
      </c>
      <c r="W565" s="79">
        <v>0</v>
      </c>
    </row>
    <row r="566" spans="1:23" ht="288">
      <c r="A566" s="603" t="s">
        <v>881</v>
      </c>
      <c r="B566" s="318" t="s">
        <v>1512</v>
      </c>
      <c r="C566" s="330"/>
      <c r="D566" s="300" t="s">
        <v>358</v>
      </c>
      <c r="E566" s="300" t="s">
        <v>98</v>
      </c>
      <c r="F566" s="300" t="s">
        <v>92</v>
      </c>
      <c r="G566" s="298" t="s">
        <v>1513</v>
      </c>
      <c r="H566" s="298">
        <v>410</v>
      </c>
      <c r="I566" s="604" t="s">
        <v>1510</v>
      </c>
      <c r="J566" s="605" t="s">
        <v>1514</v>
      </c>
      <c r="K566" s="332"/>
      <c r="L566" s="79">
        <v>18977.5</v>
      </c>
      <c r="M566" s="79">
        <v>2839.7</v>
      </c>
      <c r="N566" s="79">
        <v>0</v>
      </c>
      <c r="O566" s="79">
        <f>P566</f>
        <v>0</v>
      </c>
      <c r="P566" s="79">
        <v>0</v>
      </c>
      <c r="Q566" s="79">
        <v>0</v>
      </c>
      <c r="R566" s="79">
        <f>S566</f>
        <v>0</v>
      </c>
      <c r="S566" s="79">
        <v>0</v>
      </c>
      <c r="T566" s="79">
        <v>0</v>
      </c>
      <c r="U566" s="79">
        <f>V566</f>
        <v>0</v>
      </c>
      <c r="V566" s="79">
        <v>0</v>
      </c>
      <c r="W566" s="79">
        <v>0</v>
      </c>
    </row>
    <row r="567" spans="1:23">
      <c r="A567" s="641" t="s">
        <v>19</v>
      </c>
      <c r="B567" s="506" t="s">
        <v>211</v>
      </c>
      <c r="C567" s="506"/>
      <c r="D567" s="506"/>
      <c r="E567" s="506"/>
      <c r="F567" s="506"/>
      <c r="G567" s="506"/>
      <c r="H567" s="506"/>
      <c r="I567" s="506"/>
      <c r="J567" s="506"/>
      <c r="K567" s="506"/>
      <c r="L567" s="329">
        <f>SUM(L568:L568)</f>
        <v>9240.7000000000007</v>
      </c>
      <c r="M567" s="329">
        <f>SUM(M568:M568)</f>
        <v>6717.6</v>
      </c>
      <c r="N567" s="329">
        <f>SUM(N568:N568)</f>
        <v>6717.6</v>
      </c>
      <c r="O567" s="329">
        <f>SUM(O568:O568)</f>
        <v>0</v>
      </c>
      <c r="P567" s="329">
        <f>SUM(P568:P568)</f>
        <v>0</v>
      </c>
      <c r="Q567" s="329">
        <f>SUM(Q568:Q568)</f>
        <v>0</v>
      </c>
      <c r="R567" s="329">
        <f>SUM(R568:R568)</f>
        <v>0</v>
      </c>
      <c r="S567" s="329">
        <f>SUM(S568:S568)</f>
        <v>0</v>
      </c>
      <c r="T567" s="329">
        <f>SUM(T568:T568)</f>
        <v>0</v>
      </c>
      <c r="U567" s="329">
        <f>SUM(U568:U568)</f>
        <v>0</v>
      </c>
      <c r="V567" s="329">
        <f>SUM(V568:V568)</f>
        <v>0</v>
      </c>
      <c r="W567" s="329">
        <f>SUM(W568:W568)</f>
        <v>0</v>
      </c>
    </row>
    <row r="568" spans="1:23" ht="60">
      <c r="A568" s="320" t="s">
        <v>17</v>
      </c>
      <c r="B568" s="318" t="s">
        <v>1515</v>
      </c>
      <c r="C568" s="330"/>
      <c r="D568" s="331" t="s">
        <v>1516</v>
      </c>
      <c r="E568" s="298" t="s">
        <v>1517</v>
      </c>
      <c r="F568" s="298" t="s">
        <v>1518</v>
      </c>
      <c r="G568" s="298" t="s">
        <v>1519</v>
      </c>
      <c r="H568" s="298">
        <v>810</v>
      </c>
      <c r="I568" s="599" t="s">
        <v>1520</v>
      </c>
      <c r="J568" s="600">
        <v>37902</v>
      </c>
      <c r="K568" s="330"/>
      <c r="L568" s="79">
        <v>9240.7000000000007</v>
      </c>
      <c r="M568" s="79">
        <v>6717.6</v>
      </c>
      <c r="N568" s="79">
        <v>6717.6</v>
      </c>
      <c r="O568" s="79">
        <f>SUM(P568:Q568)</f>
        <v>0</v>
      </c>
      <c r="P568" s="79">
        <v>0</v>
      </c>
      <c r="Q568" s="79">
        <v>0</v>
      </c>
      <c r="R568" s="79">
        <f>SUM(S568:T568)</f>
        <v>0</v>
      </c>
      <c r="S568" s="79">
        <v>0</v>
      </c>
      <c r="T568" s="79">
        <v>0</v>
      </c>
      <c r="U568" s="79">
        <f>SUM(V568:W568)</f>
        <v>0</v>
      </c>
      <c r="V568" s="79">
        <v>0</v>
      </c>
      <c r="W568" s="79">
        <v>0</v>
      </c>
    </row>
    <row r="569" spans="1:23">
      <c r="A569" s="641" t="s">
        <v>23</v>
      </c>
      <c r="B569" s="506" t="s">
        <v>79</v>
      </c>
      <c r="C569" s="506"/>
      <c r="D569" s="506"/>
      <c r="E569" s="506"/>
      <c r="F569" s="506"/>
      <c r="G569" s="506"/>
      <c r="H569" s="506"/>
      <c r="I569" s="506"/>
      <c r="J569" s="506"/>
      <c r="K569" s="506"/>
      <c r="L569" s="329">
        <f>L570</f>
        <v>2</v>
      </c>
      <c r="M569" s="329">
        <f t="shared" ref="M569:W569" si="251">M570</f>
        <v>0</v>
      </c>
      <c r="N569" s="329">
        <f t="shared" si="251"/>
        <v>0</v>
      </c>
      <c r="O569" s="329">
        <f t="shared" si="251"/>
        <v>0</v>
      </c>
      <c r="P569" s="329">
        <f t="shared" si="251"/>
        <v>0</v>
      </c>
      <c r="Q569" s="329">
        <f t="shared" si="251"/>
        <v>0</v>
      </c>
      <c r="R569" s="329">
        <f t="shared" si="251"/>
        <v>0</v>
      </c>
      <c r="S569" s="329">
        <f t="shared" si="251"/>
        <v>0</v>
      </c>
      <c r="T569" s="329">
        <f t="shared" si="251"/>
        <v>0</v>
      </c>
      <c r="U569" s="329">
        <f t="shared" si="251"/>
        <v>0</v>
      </c>
      <c r="V569" s="329">
        <f t="shared" si="251"/>
        <v>0</v>
      </c>
      <c r="W569" s="329">
        <f t="shared" si="251"/>
        <v>0</v>
      </c>
    </row>
    <row r="570" spans="1:23" ht="108">
      <c r="A570" s="606"/>
      <c r="B570" s="325" t="s">
        <v>1521</v>
      </c>
      <c r="C570" s="310"/>
      <c r="D570" s="331" t="s">
        <v>1487</v>
      </c>
      <c r="E570" s="311" t="s">
        <v>92</v>
      </c>
      <c r="F570" s="326">
        <v>13</v>
      </c>
      <c r="G570" s="300" t="s">
        <v>1522</v>
      </c>
      <c r="H570" s="326">
        <v>830</v>
      </c>
      <c r="I570" s="607" t="s">
        <v>1523</v>
      </c>
      <c r="J570" s="598" t="s">
        <v>1493</v>
      </c>
      <c r="K570" s="310"/>
      <c r="L570" s="321">
        <v>2</v>
      </c>
      <c r="M570" s="321">
        <v>0</v>
      </c>
      <c r="N570" s="321">
        <v>0</v>
      </c>
      <c r="O570" s="79">
        <f>SUM(P570:Q570)</f>
        <v>0</v>
      </c>
      <c r="P570" s="79">
        <v>0</v>
      </c>
      <c r="Q570" s="79">
        <v>0</v>
      </c>
      <c r="R570" s="79">
        <f>SUM(S570:T570)</f>
        <v>0</v>
      </c>
      <c r="S570" s="79">
        <v>0</v>
      </c>
      <c r="T570" s="79">
        <v>0</v>
      </c>
      <c r="U570" s="79">
        <f>SUM(V570:W570)</f>
        <v>0</v>
      </c>
      <c r="V570" s="79">
        <v>0</v>
      </c>
      <c r="W570" s="79">
        <v>0</v>
      </c>
    </row>
    <row r="571" spans="1:23">
      <c r="A571" s="641" t="s">
        <v>56</v>
      </c>
      <c r="B571" s="506" t="s">
        <v>31</v>
      </c>
      <c r="C571" s="506"/>
      <c r="D571" s="506"/>
      <c r="E571" s="506"/>
      <c r="F571" s="506"/>
      <c r="G571" s="506"/>
      <c r="H571" s="506"/>
      <c r="I571" s="506"/>
      <c r="J571" s="506"/>
      <c r="K571" s="506"/>
      <c r="L571" s="329">
        <f>L572</f>
        <v>0.4</v>
      </c>
      <c r="M571" s="329">
        <f t="shared" ref="M571:W571" si="252">M572</f>
        <v>1459.2</v>
      </c>
      <c r="N571" s="329">
        <f t="shared" si="252"/>
        <v>1457.2</v>
      </c>
      <c r="O571" s="329">
        <f t="shared" si="252"/>
        <v>0</v>
      </c>
      <c r="P571" s="329">
        <f t="shared" si="252"/>
        <v>0</v>
      </c>
      <c r="Q571" s="329">
        <f t="shared" si="252"/>
        <v>0</v>
      </c>
      <c r="R571" s="329">
        <f t="shared" si="252"/>
        <v>0</v>
      </c>
      <c r="S571" s="329">
        <f t="shared" si="252"/>
        <v>0</v>
      </c>
      <c r="T571" s="329">
        <f t="shared" si="252"/>
        <v>0</v>
      </c>
      <c r="U571" s="329">
        <f t="shared" si="252"/>
        <v>0</v>
      </c>
      <c r="V571" s="329">
        <f t="shared" si="252"/>
        <v>0</v>
      </c>
      <c r="W571" s="329">
        <f t="shared" si="252"/>
        <v>0</v>
      </c>
    </row>
    <row r="572" spans="1:23" ht="108">
      <c r="A572" s="320"/>
      <c r="B572" s="318" t="s">
        <v>1012</v>
      </c>
      <c r="C572" s="330"/>
      <c r="D572" s="330"/>
      <c r="E572" s="300" t="s">
        <v>92</v>
      </c>
      <c r="F572" s="300" t="s">
        <v>83</v>
      </c>
      <c r="G572" s="298" t="s">
        <v>1524</v>
      </c>
      <c r="H572" s="298">
        <v>850</v>
      </c>
      <c r="I572" s="607" t="s">
        <v>1523</v>
      </c>
      <c r="J572" s="598" t="s">
        <v>1493</v>
      </c>
      <c r="K572" s="330"/>
      <c r="L572" s="79">
        <v>0.4</v>
      </c>
      <c r="M572" s="79">
        <v>1459.2</v>
      </c>
      <c r="N572" s="79">
        <v>1457.2</v>
      </c>
      <c r="O572" s="79">
        <f>SUM(P572:Q572)</f>
        <v>0</v>
      </c>
      <c r="P572" s="79">
        <v>0</v>
      </c>
      <c r="Q572" s="79">
        <v>0</v>
      </c>
      <c r="R572" s="79">
        <f>SUM(S572:T572)</f>
        <v>0</v>
      </c>
      <c r="S572" s="79">
        <v>0</v>
      </c>
      <c r="T572" s="79">
        <v>0</v>
      </c>
      <c r="U572" s="79">
        <f>SUM(V572:W572)</f>
        <v>0</v>
      </c>
      <c r="V572" s="79">
        <v>0</v>
      </c>
      <c r="W572" s="79">
        <v>0</v>
      </c>
    </row>
    <row r="573" spans="1:23" ht="56.25">
      <c r="A573" s="12" t="s">
        <v>291</v>
      </c>
      <c r="B573" s="262" t="s">
        <v>588</v>
      </c>
      <c r="C573" s="8"/>
      <c r="D573" s="644"/>
      <c r="E573" s="644"/>
      <c r="F573" s="644"/>
      <c r="G573" s="644"/>
      <c r="H573" s="644"/>
      <c r="I573" s="8"/>
      <c r="J573" s="8"/>
      <c r="K573" s="8" t="s">
        <v>62</v>
      </c>
      <c r="L573" s="19">
        <f>SUM(L574,)</f>
        <v>211284.59999999998</v>
      </c>
      <c r="M573" s="19">
        <f t="shared" ref="M573:W573" si="253">SUM(M574,)</f>
        <v>208612.37999999998</v>
      </c>
      <c r="N573" s="19">
        <f t="shared" si="253"/>
        <v>153252.28000000003</v>
      </c>
      <c r="O573" s="19">
        <f t="shared" si="253"/>
        <v>224460.3</v>
      </c>
      <c r="P573" s="19">
        <f t="shared" si="253"/>
        <v>224460.3</v>
      </c>
      <c r="Q573" s="19">
        <f t="shared" si="253"/>
        <v>0</v>
      </c>
      <c r="R573" s="19">
        <f t="shared" si="253"/>
        <v>222380.99999999997</v>
      </c>
      <c r="S573" s="19">
        <f t="shared" si="253"/>
        <v>222380.99999999997</v>
      </c>
      <c r="T573" s="19">
        <f t="shared" si="253"/>
        <v>0</v>
      </c>
      <c r="U573" s="19">
        <f t="shared" si="253"/>
        <v>224621.9</v>
      </c>
      <c r="V573" s="19">
        <f t="shared" si="253"/>
        <v>224621.9</v>
      </c>
      <c r="W573" s="19">
        <f t="shared" si="253"/>
        <v>0</v>
      </c>
    </row>
    <row r="574" spans="1:23">
      <c r="A574" s="630" t="s">
        <v>9</v>
      </c>
      <c r="B574" s="480" t="s">
        <v>67</v>
      </c>
      <c r="C574" s="480"/>
      <c r="D574" s="480"/>
      <c r="E574" s="480"/>
      <c r="F574" s="480"/>
      <c r="G574" s="480"/>
      <c r="H574" s="480"/>
      <c r="I574" s="480"/>
      <c r="J574" s="480"/>
      <c r="K574" s="480"/>
      <c r="L574" s="20">
        <f>SUM(L575,L583,L617,)</f>
        <v>211284.59999999998</v>
      </c>
      <c r="M574" s="20">
        <f t="shared" ref="M574:W574" si="254">SUM(M575,M583,M617,)</f>
        <v>208612.37999999998</v>
      </c>
      <c r="N574" s="20">
        <f t="shared" si="254"/>
        <v>153252.28000000003</v>
      </c>
      <c r="O574" s="20">
        <f t="shared" si="254"/>
        <v>224460.3</v>
      </c>
      <c r="P574" s="20">
        <f t="shared" si="254"/>
        <v>224460.3</v>
      </c>
      <c r="Q574" s="20">
        <f t="shared" si="254"/>
        <v>0</v>
      </c>
      <c r="R574" s="20">
        <f t="shared" si="254"/>
        <v>222380.99999999997</v>
      </c>
      <c r="S574" s="20">
        <f t="shared" si="254"/>
        <v>222380.99999999997</v>
      </c>
      <c r="T574" s="20">
        <f t="shared" si="254"/>
        <v>0</v>
      </c>
      <c r="U574" s="20">
        <f t="shared" si="254"/>
        <v>224621.9</v>
      </c>
      <c r="V574" s="20">
        <f t="shared" si="254"/>
        <v>224621.9</v>
      </c>
      <c r="W574" s="20">
        <f t="shared" si="254"/>
        <v>0</v>
      </c>
    </row>
    <row r="575" spans="1:23">
      <c r="A575" s="259" t="s">
        <v>57</v>
      </c>
      <c r="B575" s="224"/>
      <c r="C575" s="76"/>
      <c r="D575" s="75"/>
      <c r="E575" s="227"/>
      <c r="F575" s="227"/>
      <c r="G575" s="227"/>
      <c r="H575" s="227"/>
      <c r="I575" s="178"/>
      <c r="J575" s="76"/>
      <c r="K575" s="75"/>
      <c r="L575" s="22">
        <f>SUM(L576:L582)</f>
        <v>8189.1</v>
      </c>
      <c r="M575" s="22">
        <f>SUM(M576:M582)</f>
        <v>9290.6799999999985</v>
      </c>
      <c r="N575" s="22">
        <f>SUM(N576:N582)</f>
        <v>5487.9800000000005</v>
      </c>
      <c r="O575" s="22">
        <f>SUM(O576:O581)</f>
        <v>10122.1</v>
      </c>
      <c r="P575" s="22">
        <f t="shared" ref="P575:W575" si="255">SUM(P576:P581)</f>
        <v>10122.1</v>
      </c>
      <c r="Q575" s="22">
        <f t="shared" si="255"/>
        <v>0</v>
      </c>
      <c r="R575" s="22">
        <f t="shared" si="255"/>
        <v>10028.300000000001</v>
      </c>
      <c r="S575" s="22">
        <f t="shared" si="255"/>
        <v>10028.300000000001</v>
      </c>
      <c r="T575" s="22">
        <f t="shared" si="255"/>
        <v>0</v>
      </c>
      <c r="U575" s="22">
        <f t="shared" si="255"/>
        <v>10129.299999999999</v>
      </c>
      <c r="V575" s="22">
        <f t="shared" si="255"/>
        <v>10129.299999999999</v>
      </c>
      <c r="W575" s="22">
        <f t="shared" si="255"/>
        <v>0</v>
      </c>
    </row>
    <row r="576" spans="1:23">
      <c r="A576" s="443" t="s">
        <v>10</v>
      </c>
      <c r="B576" s="488" t="s">
        <v>68</v>
      </c>
      <c r="C576" s="489"/>
      <c r="D576" s="260" t="s">
        <v>383</v>
      </c>
      <c r="E576" s="260">
        <v>11</v>
      </c>
      <c r="F576" s="260" t="s">
        <v>98</v>
      </c>
      <c r="G576" s="260" t="s">
        <v>589</v>
      </c>
      <c r="H576" s="260">
        <v>100</v>
      </c>
      <c r="I576" s="440" t="s">
        <v>590</v>
      </c>
      <c r="J576" s="450" t="s">
        <v>591</v>
      </c>
      <c r="K576" s="450" t="s">
        <v>592</v>
      </c>
      <c r="L576" s="25">
        <v>5854.5</v>
      </c>
      <c r="M576" s="25">
        <v>6787.28</v>
      </c>
      <c r="N576" s="25">
        <v>4163</v>
      </c>
      <c r="O576" s="177">
        <f t="shared" ref="O576:O582" si="256">SUM(P576:Q576)</f>
        <v>7472.6</v>
      </c>
      <c r="P576" s="35">
        <v>7472.6</v>
      </c>
      <c r="Q576" s="35"/>
      <c r="R576" s="35">
        <f t="shared" ref="R576:R582" si="257">SUM(S576:T576)</f>
        <v>7382.3</v>
      </c>
      <c r="S576" s="35">
        <v>7382.3</v>
      </c>
      <c r="T576" s="35"/>
      <c r="U576" s="35">
        <f t="shared" ref="U576:U582" si="258">SUM(V576:W576)</f>
        <v>7479.6</v>
      </c>
      <c r="V576" s="35">
        <v>7479.6</v>
      </c>
      <c r="W576" s="35"/>
    </row>
    <row r="577" spans="1:23">
      <c r="A577" s="443"/>
      <c r="B577" s="488"/>
      <c r="C577" s="489"/>
      <c r="D577" s="260" t="s">
        <v>383</v>
      </c>
      <c r="E577" s="260" t="s">
        <v>81</v>
      </c>
      <c r="F577" s="260" t="s">
        <v>98</v>
      </c>
      <c r="G577" s="260" t="s">
        <v>986</v>
      </c>
      <c r="H577" s="260" t="s">
        <v>1242</v>
      </c>
      <c r="I577" s="440"/>
      <c r="J577" s="450"/>
      <c r="K577" s="450"/>
      <c r="L577" s="25">
        <v>120</v>
      </c>
      <c r="M577" s="25"/>
      <c r="N577" s="25"/>
      <c r="O577" s="177">
        <f t="shared" si="256"/>
        <v>0</v>
      </c>
      <c r="P577" s="35"/>
      <c r="Q577" s="35"/>
      <c r="R577" s="35">
        <f t="shared" si="257"/>
        <v>0</v>
      </c>
      <c r="S577" s="35"/>
      <c r="T577" s="35"/>
      <c r="U577" s="35">
        <f t="shared" si="258"/>
        <v>0</v>
      </c>
      <c r="V577" s="35"/>
      <c r="W577" s="35"/>
    </row>
    <row r="578" spans="1:23">
      <c r="A578" s="443"/>
      <c r="B578" s="488"/>
      <c r="C578" s="489"/>
      <c r="D578" s="260" t="s">
        <v>349</v>
      </c>
      <c r="E578" s="260">
        <v>11</v>
      </c>
      <c r="F578" s="260" t="s">
        <v>98</v>
      </c>
      <c r="G578" s="260" t="s">
        <v>589</v>
      </c>
      <c r="H578" s="260">
        <v>100</v>
      </c>
      <c r="I578" s="440"/>
      <c r="J578" s="450"/>
      <c r="K578" s="450"/>
      <c r="L578" s="25">
        <v>1786.8</v>
      </c>
      <c r="M578" s="25">
        <v>2070.6</v>
      </c>
      <c r="N578" s="25">
        <v>1147.3</v>
      </c>
      <c r="O578" s="177">
        <f t="shared" si="256"/>
        <v>2269.4</v>
      </c>
      <c r="P578" s="35">
        <v>2269.4</v>
      </c>
      <c r="Q578" s="35"/>
      <c r="R578" s="35">
        <f t="shared" si="257"/>
        <v>2269.4</v>
      </c>
      <c r="S578" s="35">
        <v>2269.4</v>
      </c>
      <c r="T578" s="35"/>
      <c r="U578" s="35">
        <f t="shared" si="258"/>
        <v>2269.4</v>
      </c>
      <c r="V578" s="35">
        <v>2269.4</v>
      </c>
      <c r="W578" s="35"/>
    </row>
    <row r="579" spans="1:23">
      <c r="A579" s="443"/>
      <c r="B579" s="488"/>
      <c r="C579" s="489"/>
      <c r="D579" s="260" t="s">
        <v>353</v>
      </c>
      <c r="E579" s="260" t="s">
        <v>81</v>
      </c>
      <c r="F579" s="260" t="s">
        <v>98</v>
      </c>
      <c r="G579" s="260" t="s">
        <v>1041</v>
      </c>
      <c r="H579" s="260" t="s">
        <v>1242</v>
      </c>
      <c r="I579" s="440"/>
      <c r="J579" s="450"/>
      <c r="K579" s="450"/>
      <c r="L579" s="25">
        <v>19.3</v>
      </c>
      <c r="M579" s="25"/>
      <c r="N579" s="25"/>
      <c r="O579" s="177">
        <f t="shared" si="256"/>
        <v>0</v>
      </c>
      <c r="P579" s="35"/>
      <c r="Q579" s="35"/>
      <c r="R579" s="35">
        <f t="shared" si="257"/>
        <v>0</v>
      </c>
      <c r="S579" s="35"/>
      <c r="T579" s="35"/>
      <c r="U579" s="35">
        <f t="shared" si="258"/>
        <v>0</v>
      </c>
      <c r="V579" s="35"/>
      <c r="W579" s="35"/>
    </row>
    <row r="580" spans="1:23">
      <c r="A580" s="443" t="s">
        <v>11</v>
      </c>
      <c r="B580" s="488" t="s">
        <v>69</v>
      </c>
      <c r="C580" s="489"/>
      <c r="D580" s="260" t="s">
        <v>349</v>
      </c>
      <c r="E580" s="260" t="s">
        <v>81</v>
      </c>
      <c r="F580" s="260" t="s">
        <v>98</v>
      </c>
      <c r="G580" s="260" t="s">
        <v>589</v>
      </c>
      <c r="H580" s="260">
        <v>200</v>
      </c>
      <c r="I580" s="440" t="s">
        <v>593</v>
      </c>
      <c r="J580" s="489" t="s">
        <v>594</v>
      </c>
      <c r="K580" s="489" t="s">
        <v>595</v>
      </c>
      <c r="L580" s="25">
        <v>384.8</v>
      </c>
      <c r="M580" s="25">
        <f>294.5+81.8</f>
        <v>376.3</v>
      </c>
      <c r="N580" s="25">
        <f>122.42+55.26</f>
        <v>177.68</v>
      </c>
      <c r="O580" s="177">
        <f t="shared" si="256"/>
        <v>380.1</v>
      </c>
      <c r="P580" s="35">
        <v>380.1</v>
      </c>
      <c r="Q580" s="35"/>
      <c r="R580" s="35">
        <f t="shared" si="257"/>
        <v>376.6</v>
      </c>
      <c r="S580" s="35">
        <v>376.6</v>
      </c>
      <c r="T580" s="35"/>
      <c r="U580" s="35">
        <f t="shared" si="258"/>
        <v>380.3</v>
      </c>
      <c r="V580" s="35">
        <v>380.3</v>
      </c>
      <c r="W580" s="35"/>
    </row>
    <row r="581" spans="1:23">
      <c r="A581" s="443"/>
      <c r="B581" s="488"/>
      <c r="C581" s="489"/>
      <c r="D581" s="260" t="s">
        <v>596</v>
      </c>
      <c r="E581" s="260" t="s">
        <v>81</v>
      </c>
      <c r="F581" s="260" t="s">
        <v>143</v>
      </c>
      <c r="G581" s="260" t="s">
        <v>597</v>
      </c>
      <c r="H581" s="260" t="s">
        <v>142</v>
      </c>
      <c r="I581" s="440"/>
      <c r="J581" s="489"/>
      <c r="K581" s="489"/>
      <c r="L581" s="25">
        <v>18.7</v>
      </c>
      <c r="M581" s="25">
        <v>56.5</v>
      </c>
      <c r="N581" s="25">
        <v>0</v>
      </c>
      <c r="O581" s="177">
        <f t="shared" si="256"/>
        <v>0</v>
      </c>
      <c r="P581" s="177"/>
      <c r="Q581" s="177"/>
      <c r="R581" s="35">
        <f t="shared" si="257"/>
        <v>0</v>
      </c>
      <c r="S581" s="177"/>
      <c r="T581" s="177"/>
      <c r="U581" s="35">
        <f t="shared" si="258"/>
        <v>0</v>
      </c>
      <c r="V581" s="177"/>
      <c r="W581" s="35"/>
    </row>
    <row r="582" spans="1:23">
      <c r="A582" s="443"/>
      <c r="B582" s="488"/>
      <c r="C582" s="489"/>
      <c r="D582" s="260" t="s">
        <v>1054</v>
      </c>
      <c r="E582" s="260" t="s">
        <v>81</v>
      </c>
      <c r="F582" s="260" t="s">
        <v>98</v>
      </c>
      <c r="G582" s="260" t="s">
        <v>862</v>
      </c>
      <c r="H582" s="260" t="s">
        <v>142</v>
      </c>
      <c r="I582" s="440"/>
      <c r="J582" s="489"/>
      <c r="K582" s="489"/>
      <c r="L582" s="25">
        <v>5</v>
      </c>
      <c r="M582" s="25"/>
      <c r="N582" s="25"/>
      <c r="O582" s="177">
        <f t="shared" si="256"/>
        <v>0</v>
      </c>
      <c r="P582" s="177"/>
      <c r="Q582" s="177"/>
      <c r="R582" s="35">
        <f t="shared" si="257"/>
        <v>0</v>
      </c>
      <c r="S582" s="177"/>
      <c r="T582" s="177"/>
      <c r="U582" s="35">
        <f t="shared" si="258"/>
        <v>0</v>
      </c>
      <c r="V582" s="177"/>
      <c r="W582" s="35"/>
    </row>
    <row r="583" spans="1:23">
      <c r="A583" s="485" t="s">
        <v>75</v>
      </c>
      <c r="B583" s="485"/>
      <c r="C583" s="485"/>
      <c r="D583" s="485"/>
      <c r="E583" s="485"/>
      <c r="F583" s="485"/>
      <c r="G583" s="485"/>
      <c r="H583" s="485"/>
      <c r="I583" s="485"/>
      <c r="J583" s="485"/>
      <c r="K583" s="485"/>
      <c r="L583" s="78">
        <f>SUM(L584,L588)</f>
        <v>203095.49999999997</v>
      </c>
      <c r="M583" s="78">
        <f t="shared" ref="M583:W583" si="259">SUM(M584,M588)</f>
        <v>194321.69999999998</v>
      </c>
      <c r="N583" s="78">
        <f t="shared" si="259"/>
        <v>144216.30000000002</v>
      </c>
      <c r="O583" s="78">
        <f t="shared" si="259"/>
        <v>209338.19999999998</v>
      </c>
      <c r="P583" s="78">
        <f t="shared" si="259"/>
        <v>209338.19999999998</v>
      </c>
      <c r="Q583" s="78">
        <f t="shared" si="259"/>
        <v>0</v>
      </c>
      <c r="R583" s="78">
        <f t="shared" si="259"/>
        <v>207352.69999999998</v>
      </c>
      <c r="S583" s="78">
        <f t="shared" si="259"/>
        <v>207352.69999999998</v>
      </c>
      <c r="T583" s="78">
        <f t="shared" si="259"/>
        <v>0</v>
      </c>
      <c r="U583" s="78">
        <f t="shared" si="259"/>
        <v>209492.6</v>
      </c>
      <c r="V583" s="78">
        <f t="shared" si="259"/>
        <v>209492.6</v>
      </c>
      <c r="W583" s="78">
        <f t="shared" si="259"/>
        <v>0</v>
      </c>
    </row>
    <row r="584" spans="1:23">
      <c r="A584" s="486" t="s">
        <v>36</v>
      </c>
      <c r="B584" s="486"/>
      <c r="C584" s="486"/>
      <c r="D584" s="486"/>
      <c r="E584" s="486"/>
      <c r="F584" s="486"/>
      <c r="G584" s="486"/>
      <c r="H584" s="486"/>
      <c r="I584" s="486"/>
      <c r="J584" s="486"/>
      <c r="K584" s="486"/>
      <c r="L584" s="22">
        <f>SUM(L585,)</f>
        <v>3882.3</v>
      </c>
      <c r="M584" s="22">
        <f t="shared" ref="M584:W584" si="260">SUM(M585,)</f>
        <v>0</v>
      </c>
      <c r="N584" s="22">
        <f t="shared" si="260"/>
        <v>0</v>
      </c>
      <c r="O584" s="22">
        <f t="shared" si="260"/>
        <v>0</v>
      </c>
      <c r="P584" s="22">
        <f t="shared" si="260"/>
        <v>0</v>
      </c>
      <c r="Q584" s="22">
        <f t="shared" si="260"/>
        <v>0</v>
      </c>
      <c r="R584" s="22">
        <f t="shared" si="260"/>
        <v>0</v>
      </c>
      <c r="S584" s="22">
        <f t="shared" si="260"/>
        <v>0</v>
      </c>
      <c r="T584" s="22">
        <f t="shared" si="260"/>
        <v>0</v>
      </c>
      <c r="U584" s="22">
        <f t="shared" si="260"/>
        <v>0</v>
      </c>
      <c r="V584" s="22">
        <f t="shared" si="260"/>
        <v>0</v>
      </c>
      <c r="W584" s="22">
        <f t="shared" si="260"/>
        <v>0</v>
      </c>
    </row>
    <row r="585" spans="1:23" ht="112.5">
      <c r="A585" s="261" t="s">
        <v>33</v>
      </c>
      <c r="B585" s="224" t="s">
        <v>90</v>
      </c>
      <c r="C585" s="76"/>
      <c r="D585" s="75"/>
      <c r="E585" s="227"/>
      <c r="F585" s="227"/>
      <c r="G585" s="227"/>
      <c r="H585" s="227"/>
      <c r="I585" s="178"/>
      <c r="J585" s="76"/>
      <c r="K585" s="75"/>
      <c r="L585" s="25">
        <f t="shared" ref="L585:W585" si="261">SUM(L586:L587)</f>
        <v>3882.3</v>
      </c>
      <c r="M585" s="25">
        <f t="shared" si="261"/>
        <v>0</v>
      </c>
      <c r="N585" s="25">
        <f t="shared" si="261"/>
        <v>0</v>
      </c>
      <c r="O585" s="25">
        <f t="shared" si="261"/>
        <v>0</v>
      </c>
      <c r="P585" s="25">
        <f t="shared" si="261"/>
        <v>0</v>
      </c>
      <c r="Q585" s="25">
        <f t="shared" si="261"/>
        <v>0</v>
      </c>
      <c r="R585" s="25">
        <f t="shared" si="261"/>
        <v>0</v>
      </c>
      <c r="S585" s="25">
        <f t="shared" si="261"/>
        <v>0</v>
      </c>
      <c r="T585" s="25">
        <f t="shared" si="261"/>
        <v>0</v>
      </c>
      <c r="U585" s="25">
        <f t="shared" si="261"/>
        <v>0</v>
      </c>
      <c r="V585" s="25">
        <f t="shared" si="261"/>
        <v>0</v>
      </c>
      <c r="W585" s="25">
        <f t="shared" si="261"/>
        <v>0</v>
      </c>
    </row>
    <row r="586" spans="1:23" ht="409.5">
      <c r="A586" s="626" t="s">
        <v>43</v>
      </c>
      <c r="B586" s="615" t="s">
        <v>599</v>
      </c>
      <c r="C586" s="350" t="s">
        <v>600</v>
      </c>
      <c r="D586" s="260" t="s">
        <v>596</v>
      </c>
      <c r="E586" s="260">
        <v>11</v>
      </c>
      <c r="F586" s="260" t="s">
        <v>143</v>
      </c>
      <c r="G586" s="227">
        <v>1210325270</v>
      </c>
      <c r="H586" s="227">
        <v>611</v>
      </c>
      <c r="I586" s="440" t="s">
        <v>601</v>
      </c>
      <c r="J586" s="484" t="s">
        <v>602</v>
      </c>
      <c r="K586" s="484" t="s">
        <v>603</v>
      </c>
      <c r="L586" s="25">
        <v>300.8</v>
      </c>
      <c r="M586" s="25"/>
      <c r="N586" s="25"/>
      <c r="O586" s="77"/>
      <c r="P586" s="77"/>
      <c r="Q586" s="77"/>
      <c r="R586" s="77"/>
      <c r="S586" s="77"/>
      <c r="T586" s="77"/>
      <c r="U586" s="77"/>
      <c r="V586" s="77"/>
      <c r="W586" s="25"/>
    </row>
    <row r="587" spans="1:23" ht="225">
      <c r="A587" s="626"/>
      <c r="B587" s="615"/>
      <c r="C587" s="350" t="s">
        <v>604</v>
      </c>
      <c r="D587" s="260" t="s">
        <v>605</v>
      </c>
      <c r="E587" s="260" t="s">
        <v>81</v>
      </c>
      <c r="F587" s="260" t="s">
        <v>95</v>
      </c>
      <c r="G587" s="227">
        <v>1210200590</v>
      </c>
      <c r="H587" s="227">
        <v>611</v>
      </c>
      <c r="I587" s="440"/>
      <c r="J587" s="484"/>
      <c r="K587" s="484"/>
      <c r="L587" s="25">
        <v>3581.5</v>
      </c>
      <c r="M587" s="25"/>
      <c r="N587" s="25"/>
      <c r="O587" s="25"/>
      <c r="P587" s="25"/>
      <c r="Q587" s="25"/>
      <c r="R587" s="25"/>
      <c r="S587" s="25"/>
      <c r="T587" s="25"/>
      <c r="U587" s="25"/>
      <c r="V587" s="25"/>
      <c r="W587" s="51"/>
    </row>
    <row r="588" spans="1:23">
      <c r="A588" s="486" t="s">
        <v>37</v>
      </c>
      <c r="B588" s="486"/>
      <c r="C588" s="486"/>
      <c r="D588" s="486"/>
      <c r="E588" s="486"/>
      <c r="F588" s="486"/>
      <c r="G588" s="486"/>
      <c r="H588" s="486"/>
      <c r="I588" s="486"/>
      <c r="J588" s="486"/>
      <c r="K588" s="486"/>
      <c r="L588" s="22">
        <f t="shared" ref="L588:W588" si="262">SUM(L589,L596)</f>
        <v>199213.19999999998</v>
      </c>
      <c r="M588" s="22">
        <f t="shared" si="262"/>
        <v>194321.69999999998</v>
      </c>
      <c r="N588" s="22">
        <f t="shared" si="262"/>
        <v>144216.30000000002</v>
      </c>
      <c r="O588" s="22">
        <f t="shared" si="262"/>
        <v>209338.19999999998</v>
      </c>
      <c r="P588" s="22">
        <f t="shared" si="262"/>
        <v>209338.19999999998</v>
      </c>
      <c r="Q588" s="22">
        <f t="shared" si="262"/>
        <v>0</v>
      </c>
      <c r="R588" s="22">
        <f t="shared" si="262"/>
        <v>207352.69999999998</v>
      </c>
      <c r="S588" s="22">
        <f t="shared" si="262"/>
        <v>207352.69999999998</v>
      </c>
      <c r="T588" s="22">
        <f t="shared" si="262"/>
        <v>0</v>
      </c>
      <c r="U588" s="22">
        <f t="shared" si="262"/>
        <v>209492.6</v>
      </c>
      <c r="V588" s="22">
        <f t="shared" si="262"/>
        <v>209492.6</v>
      </c>
      <c r="W588" s="22">
        <f t="shared" si="262"/>
        <v>0</v>
      </c>
    </row>
    <row r="589" spans="1:23" ht="93.75">
      <c r="A589" s="261" t="s">
        <v>38</v>
      </c>
      <c r="B589" s="224" t="s">
        <v>78</v>
      </c>
      <c r="C589" s="76"/>
      <c r="D589" s="75"/>
      <c r="E589" s="227"/>
      <c r="F589" s="227"/>
      <c r="G589" s="227"/>
      <c r="H589" s="227">
        <v>600</v>
      </c>
      <c r="I589" s="178"/>
      <c r="J589" s="76"/>
      <c r="K589" s="75"/>
      <c r="L589" s="25">
        <f>SUM(L590:L595)</f>
        <v>187527.3</v>
      </c>
      <c r="M589" s="25">
        <f>SUM(M590:M595)</f>
        <v>176848.8</v>
      </c>
      <c r="N589" s="25">
        <f>SUM(N590:N595)</f>
        <v>130391.3</v>
      </c>
      <c r="O589" s="25">
        <f t="shared" ref="O589:W589" si="263">SUM(O590:O595)</f>
        <v>206852.19999999998</v>
      </c>
      <c r="P589" s="25">
        <f t="shared" si="263"/>
        <v>206852.19999999998</v>
      </c>
      <c r="Q589" s="25">
        <f t="shared" si="263"/>
        <v>0</v>
      </c>
      <c r="R589" s="25">
        <f t="shared" si="263"/>
        <v>204983.3</v>
      </c>
      <c r="S589" s="25">
        <f t="shared" si="263"/>
        <v>204983.3</v>
      </c>
      <c r="T589" s="25">
        <f t="shared" si="263"/>
        <v>0</v>
      </c>
      <c r="U589" s="25">
        <f t="shared" si="263"/>
        <v>206997.5</v>
      </c>
      <c r="V589" s="25">
        <f t="shared" si="263"/>
        <v>206997.5</v>
      </c>
      <c r="W589" s="25">
        <f t="shared" si="263"/>
        <v>0</v>
      </c>
    </row>
    <row r="590" spans="1:23" ht="168.75">
      <c r="A590" s="626" t="s">
        <v>45</v>
      </c>
      <c r="B590" s="440" t="s">
        <v>599</v>
      </c>
      <c r="C590" s="351" t="s">
        <v>1329</v>
      </c>
      <c r="D590" s="260" t="s">
        <v>605</v>
      </c>
      <c r="E590" s="260">
        <v>11</v>
      </c>
      <c r="F590" s="260" t="s">
        <v>92</v>
      </c>
      <c r="G590" s="227">
        <v>1210200590</v>
      </c>
      <c r="H590" s="227">
        <v>621</v>
      </c>
      <c r="I590" s="440" t="s">
        <v>611</v>
      </c>
      <c r="J590" s="484" t="s">
        <v>612</v>
      </c>
      <c r="K590" s="484" t="s">
        <v>613</v>
      </c>
      <c r="L590" s="25"/>
      <c r="M590" s="25">
        <v>12732.6</v>
      </c>
      <c r="N590" s="25">
        <v>6657.6</v>
      </c>
      <c r="O590" s="77">
        <f>SUM(P590:Q590)</f>
        <v>11409.8</v>
      </c>
      <c r="P590" s="77">
        <v>11409.8</v>
      </c>
      <c r="Q590" s="77"/>
      <c r="R590" s="77">
        <f>SUM(S590:T590)</f>
        <v>11304.1</v>
      </c>
      <c r="S590" s="77">
        <v>11304.1</v>
      </c>
      <c r="T590" s="77"/>
      <c r="U590" s="77">
        <f>SUM(V590:W590)</f>
        <v>11418</v>
      </c>
      <c r="V590" s="77">
        <v>11418</v>
      </c>
      <c r="W590" s="25"/>
    </row>
    <row r="591" spans="1:23" ht="409.5">
      <c r="A591" s="626"/>
      <c r="B591" s="440"/>
      <c r="C591" s="351" t="s">
        <v>1330</v>
      </c>
      <c r="D591" s="260" t="s">
        <v>605</v>
      </c>
      <c r="E591" s="260" t="s">
        <v>81</v>
      </c>
      <c r="F591" s="260" t="s">
        <v>143</v>
      </c>
      <c r="G591" s="227">
        <v>1210200590</v>
      </c>
      <c r="H591" s="227">
        <v>621</v>
      </c>
      <c r="I591" s="440"/>
      <c r="J591" s="484"/>
      <c r="K591" s="484"/>
      <c r="L591" s="25">
        <v>14810.3</v>
      </c>
      <c r="M591" s="25">
        <v>12002.8</v>
      </c>
      <c r="N591" s="25">
        <v>8628.2999999999993</v>
      </c>
      <c r="O591" s="77">
        <f t="shared" ref="O591:O595" si="264">SUM(P591:Q591)</f>
        <v>23458.400000000001</v>
      </c>
      <c r="P591" s="77">
        <v>23458.400000000001</v>
      </c>
      <c r="Q591" s="77"/>
      <c r="R591" s="77">
        <f t="shared" ref="R591:R595" si="265">SUM(S591:T591)</f>
        <v>23241.1</v>
      </c>
      <c r="S591" s="77">
        <v>23241.1</v>
      </c>
      <c r="T591" s="77"/>
      <c r="U591" s="77">
        <f t="shared" ref="U591:U595" si="266">SUM(V591:W591)</f>
        <v>23475.3</v>
      </c>
      <c r="V591" s="77">
        <v>23475.3</v>
      </c>
      <c r="W591" s="25"/>
    </row>
    <row r="592" spans="1:23" ht="262.5">
      <c r="A592" s="626"/>
      <c r="B592" s="440"/>
      <c r="C592" s="351" t="s">
        <v>1331</v>
      </c>
      <c r="D592" s="260" t="s">
        <v>596</v>
      </c>
      <c r="E592" s="260">
        <v>11</v>
      </c>
      <c r="F592" s="260" t="s">
        <v>143</v>
      </c>
      <c r="G592" s="227">
        <v>1210325270</v>
      </c>
      <c r="H592" s="227">
        <v>621</v>
      </c>
      <c r="I592" s="440"/>
      <c r="J592" s="484"/>
      <c r="K592" s="484"/>
      <c r="L592" s="25"/>
      <c r="M592" s="25">
        <v>5885.5</v>
      </c>
      <c r="N592" s="25">
        <v>4496</v>
      </c>
      <c r="O592" s="77">
        <f t="shared" si="264"/>
        <v>5115.1000000000004</v>
      </c>
      <c r="P592" s="77">
        <v>5115.1000000000004</v>
      </c>
      <c r="Q592" s="77"/>
      <c r="R592" s="77">
        <f t="shared" si="265"/>
        <v>5115.1000000000004</v>
      </c>
      <c r="S592" s="77">
        <v>5115.1000000000004</v>
      </c>
      <c r="T592" s="77"/>
      <c r="U592" s="77">
        <f t="shared" si="266"/>
        <v>5115.1000000000004</v>
      </c>
      <c r="V592" s="77">
        <v>5115.1000000000004</v>
      </c>
      <c r="W592" s="25"/>
    </row>
    <row r="593" spans="1:23">
      <c r="A593" s="626"/>
      <c r="B593" s="440"/>
      <c r="C593" s="487" t="s">
        <v>1332</v>
      </c>
      <c r="D593" s="260" t="s">
        <v>605</v>
      </c>
      <c r="E593" s="260" t="s">
        <v>81</v>
      </c>
      <c r="F593" s="260" t="s">
        <v>95</v>
      </c>
      <c r="G593" s="227">
        <v>1210200590</v>
      </c>
      <c r="H593" s="227">
        <v>621</v>
      </c>
      <c r="I593" s="440"/>
      <c r="J593" s="484"/>
      <c r="K593" s="484"/>
      <c r="L593" s="35">
        <v>171362</v>
      </c>
      <c r="M593" s="25">
        <v>141884.4</v>
      </c>
      <c r="N593" s="25">
        <v>107046.2</v>
      </c>
      <c r="O593" s="77">
        <f t="shared" si="264"/>
        <v>163038.1</v>
      </c>
      <c r="P593" s="25">
        <v>163038.1</v>
      </c>
      <c r="Q593" s="25"/>
      <c r="R593" s="77">
        <f t="shared" si="265"/>
        <v>161527.70000000001</v>
      </c>
      <c r="S593" s="25">
        <v>161527.70000000001</v>
      </c>
      <c r="T593" s="25"/>
      <c r="U593" s="77">
        <f t="shared" si="266"/>
        <v>163155.6</v>
      </c>
      <c r="V593" s="25">
        <v>163155.6</v>
      </c>
      <c r="W593" s="25"/>
    </row>
    <row r="594" spans="1:23">
      <c r="A594" s="626"/>
      <c r="B594" s="440"/>
      <c r="C594" s="487"/>
      <c r="D594" s="260" t="s">
        <v>605</v>
      </c>
      <c r="E594" s="260">
        <v>11</v>
      </c>
      <c r="F594" s="260" t="s">
        <v>95</v>
      </c>
      <c r="G594" s="227">
        <v>1210325270</v>
      </c>
      <c r="H594" s="227">
        <v>621</v>
      </c>
      <c r="I594" s="440"/>
      <c r="J594" s="484"/>
      <c r="K594" s="484"/>
      <c r="L594" s="35"/>
      <c r="M594" s="25">
        <v>4343.5</v>
      </c>
      <c r="N594" s="25">
        <v>3563.2</v>
      </c>
      <c r="O594" s="77">
        <f t="shared" si="264"/>
        <v>3830.8</v>
      </c>
      <c r="P594" s="25">
        <v>3830.8</v>
      </c>
      <c r="Q594" s="25"/>
      <c r="R594" s="77">
        <f t="shared" si="265"/>
        <v>3795.3</v>
      </c>
      <c r="S594" s="25">
        <v>3795.3</v>
      </c>
      <c r="T594" s="25"/>
      <c r="U594" s="77">
        <f>SUM(V594:W594)</f>
        <v>3833.5</v>
      </c>
      <c r="V594" s="25">
        <v>3833.5</v>
      </c>
      <c r="W594" s="25"/>
    </row>
    <row r="595" spans="1:23">
      <c r="A595" s="626"/>
      <c r="B595" s="440"/>
      <c r="C595" s="487"/>
      <c r="D595" s="260" t="s">
        <v>605</v>
      </c>
      <c r="E595" s="227">
        <v>11</v>
      </c>
      <c r="F595" s="260" t="s">
        <v>95</v>
      </c>
      <c r="G595" s="227">
        <v>1210274090</v>
      </c>
      <c r="H595" s="227">
        <v>621</v>
      </c>
      <c r="I595" s="440"/>
      <c r="J595" s="484"/>
      <c r="K595" s="484"/>
      <c r="L595" s="35">
        <v>1355</v>
      </c>
      <c r="M595" s="25"/>
      <c r="N595" s="25"/>
      <c r="O595" s="77">
        <f t="shared" si="264"/>
        <v>0</v>
      </c>
      <c r="P595" s="25"/>
      <c r="Q595" s="25"/>
      <c r="R595" s="77">
        <f t="shared" si="265"/>
        <v>0</v>
      </c>
      <c r="S595" s="25"/>
      <c r="T595" s="25"/>
      <c r="U595" s="77">
        <f t="shared" si="266"/>
        <v>0</v>
      </c>
      <c r="V595" s="25"/>
      <c r="W595" s="25"/>
    </row>
    <row r="596" spans="1:23" ht="37.5">
      <c r="A596" s="261" t="s">
        <v>40</v>
      </c>
      <c r="B596" s="224" t="s">
        <v>39</v>
      </c>
      <c r="C596" s="76"/>
      <c r="D596" s="75"/>
      <c r="E596" s="227"/>
      <c r="F596" s="227"/>
      <c r="G596" s="227"/>
      <c r="H596" s="227">
        <v>600</v>
      </c>
      <c r="I596" s="178"/>
      <c r="J596" s="76"/>
      <c r="K596" s="75"/>
      <c r="L596" s="35">
        <f>SUM(L597:L616)</f>
        <v>11685.9</v>
      </c>
      <c r="M596" s="25">
        <f>SUM(M597:M616)</f>
        <v>17472.900000000001</v>
      </c>
      <c r="N596" s="25">
        <f>SUM(N597:N616)</f>
        <v>13825.000000000002</v>
      </c>
      <c r="O596" s="25">
        <f>SUM(O597:O616)</f>
        <v>2486</v>
      </c>
      <c r="P596" s="25">
        <f>SUM(P597:P616)</f>
        <v>2486</v>
      </c>
      <c r="Q596" s="25">
        <f>SUM(Q597:Q608)</f>
        <v>0</v>
      </c>
      <c r="R596" s="25">
        <f>SUM(R597:R616)</f>
        <v>2369.3999999999996</v>
      </c>
      <c r="S596" s="25">
        <f>SUM(S597:S616)</f>
        <v>2369.3999999999996</v>
      </c>
      <c r="T596" s="25">
        <f>SUM(T597:T608)</f>
        <v>0</v>
      </c>
      <c r="U596" s="25">
        <f>SUM(U597:U616)</f>
        <v>2495.1</v>
      </c>
      <c r="V596" s="25">
        <f>SUM(V597:V616)</f>
        <v>2495.1</v>
      </c>
      <c r="W596" s="25">
        <f>SUM(W597:W608)</f>
        <v>0</v>
      </c>
    </row>
    <row r="597" spans="1:23">
      <c r="A597" s="626" t="s">
        <v>46</v>
      </c>
      <c r="B597" s="440" t="s">
        <v>606</v>
      </c>
      <c r="C597" s="482"/>
      <c r="D597" s="260" t="s">
        <v>614</v>
      </c>
      <c r="E597" s="260" t="s">
        <v>92</v>
      </c>
      <c r="F597" s="260">
        <v>13</v>
      </c>
      <c r="G597" s="227">
        <v>1010100110</v>
      </c>
      <c r="H597" s="227">
        <v>622</v>
      </c>
      <c r="I597" s="450" t="s">
        <v>615</v>
      </c>
      <c r="J597" s="483" t="s">
        <v>1333</v>
      </c>
      <c r="K597" s="484" t="s">
        <v>595</v>
      </c>
      <c r="L597" s="35">
        <v>311.10000000000002</v>
      </c>
      <c r="M597" s="25">
        <v>295.5</v>
      </c>
      <c r="N597" s="25">
        <v>224.4</v>
      </c>
      <c r="O597" s="25">
        <f>P597+Q597</f>
        <v>259.5</v>
      </c>
      <c r="P597" s="25">
        <v>259.5</v>
      </c>
      <c r="Q597" s="25"/>
      <c r="R597" s="25">
        <f t="shared" ref="R597:R615" si="267">SUM(S597:T597)</f>
        <v>257.10000000000002</v>
      </c>
      <c r="S597" s="25">
        <v>257.10000000000002</v>
      </c>
      <c r="T597" s="25"/>
      <c r="U597" s="25">
        <f t="shared" ref="U597:U615" si="268">SUM(V597:W597)</f>
        <v>259.7</v>
      </c>
      <c r="V597" s="25">
        <v>259.7</v>
      </c>
      <c r="W597" s="25"/>
    </row>
    <row r="598" spans="1:23">
      <c r="A598" s="626"/>
      <c r="B598" s="440"/>
      <c r="C598" s="482"/>
      <c r="D598" s="260" t="s">
        <v>493</v>
      </c>
      <c r="E598" s="260" t="s">
        <v>93</v>
      </c>
      <c r="F598" s="260" t="s">
        <v>92</v>
      </c>
      <c r="G598" s="260" t="s">
        <v>494</v>
      </c>
      <c r="H598" s="227">
        <v>622</v>
      </c>
      <c r="I598" s="450"/>
      <c r="J598" s="483"/>
      <c r="K598" s="484"/>
      <c r="L598" s="35">
        <v>229</v>
      </c>
      <c r="M598" s="25">
        <v>348.9</v>
      </c>
      <c r="N598" s="25">
        <v>348.9</v>
      </c>
      <c r="O598" s="25">
        <f t="shared" ref="O598:O616" si="269">P598+Q598</f>
        <v>306.39999999999998</v>
      </c>
      <c r="P598" s="25">
        <v>306.39999999999998</v>
      </c>
      <c r="Q598" s="25"/>
      <c r="R598" s="25">
        <f t="shared" si="267"/>
        <v>303.60000000000002</v>
      </c>
      <c r="S598" s="25">
        <v>303.60000000000002</v>
      </c>
      <c r="T598" s="25"/>
      <c r="U598" s="25">
        <f t="shared" si="268"/>
        <v>306.60000000000002</v>
      </c>
      <c r="V598" s="25">
        <v>306.60000000000002</v>
      </c>
      <c r="W598" s="25"/>
    </row>
    <row r="599" spans="1:23">
      <c r="A599" s="626"/>
      <c r="B599" s="440"/>
      <c r="C599" s="482"/>
      <c r="D599" s="260" t="s">
        <v>607</v>
      </c>
      <c r="E599" s="260" t="s">
        <v>146</v>
      </c>
      <c r="F599" s="260" t="s">
        <v>146</v>
      </c>
      <c r="G599" s="260" t="s">
        <v>494</v>
      </c>
      <c r="H599" s="227">
        <v>622</v>
      </c>
      <c r="I599" s="450"/>
      <c r="J599" s="483"/>
      <c r="K599" s="484"/>
      <c r="L599" s="35"/>
      <c r="M599" s="352">
        <v>24.1</v>
      </c>
      <c r="N599" s="352">
        <v>24.1</v>
      </c>
      <c r="O599" s="25">
        <f t="shared" si="269"/>
        <v>21.2</v>
      </c>
      <c r="P599" s="25">
        <v>21.2</v>
      </c>
      <c r="Q599" s="25"/>
      <c r="R599" s="25">
        <f t="shared" si="267"/>
        <v>21</v>
      </c>
      <c r="S599" s="25">
        <v>21</v>
      </c>
      <c r="T599" s="25"/>
      <c r="U599" s="25">
        <f t="shared" si="268"/>
        <v>21.2</v>
      </c>
      <c r="V599" s="25">
        <v>21.2</v>
      </c>
      <c r="W599" s="25"/>
    </row>
    <row r="600" spans="1:23">
      <c r="A600" s="626"/>
      <c r="B600" s="440"/>
      <c r="C600" s="482"/>
      <c r="D600" s="260" t="s">
        <v>493</v>
      </c>
      <c r="E600" s="260" t="s">
        <v>146</v>
      </c>
      <c r="F600" s="260" t="s">
        <v>146</v>
      </c>
      <c r="G600" s="260" t="s">
        <v>1055</v>
      </c>
      <c r="H600" s="227">
        <v>622</v>
      </c>
      <c r="I600" s="450"/>
      <c r="J600" s="483"/>
      <c r="K600" s="484"/>
      <c r="L600" s="35">
        <v>21.6</v>
      </c>
      <c r="M600" s="25"/>
      <c r="N600" s="25"/>
      <c r="O600" s="25">
        <f t="shared" si="269"/>
        <v>0</v>
      </c>
      <c r="P600" s="25"/>
      <c r="Q600" s="25"/>
      <c r="R600" s="25">
        <f t="shared" si="267"/>
        <v>0</v>
      </c>
      <c r="S600" s="25"/>
      <c r="T600" s="25"/>
      <c r="U600" s="25">
        <f t="shared" si="268"/>
        <v>0</v>
      </c>
      <c r="V600" s="25"/>
      <c r="W600" s="25"/>
    </row>
    <row r="601" spans="1:23">
      <c r="A601" s="626"/>
      <c r="B601" s="440"/>
      <c r="C601" s="482"/>
      <c r="D601" s="260" t="s">
        <v>607</v>
      </c>
      <c r="E601" s="260" t="s">
        <v>146</v>
      </c>
      <c r="F601" s="260" t="s">
        <v>146</v>
      </c>
      <c r="G601" s="260" t="s">
        <v>609</v>
      </c>
      <c r="H601" s="227">
        <v>622</v>
      </c>
      <c r="I601" s="450"/>
      <c r="J601" s="483"/>
      <c r="K601" s="484"/>
      <c r="L601" s="35">
        <v>84.5</v>
      </c>
      <c r="M601" s="25"/>
      <c r="N601" s="25"/>
      <c r="O601" s="25">
        <f t="shared" si="269"/>
        <v>0</v>
      </c>
      <c r="P601" s="25"/>
      <c r="Q601" s="25"/>
      <c r="R601" s="25">
        <f t="shared" si="267"/>
        <v>0</v>
      </c>
      <c r="S601" s="25"/>
      <c r="T601" s="25"/>
      <c r="U601" s="25">
        <f t="shared" si="268"/>
        <v>0</v>
      </c>
      <c r="V601" s="25"/>
      <c r="W601" s="25"/>
    </row>
    <row r="602" spans="1:23">
      <c r="A602" s="626"/>
      <c r="B602" s="440"/>
      <c r="C602" s="482"/>
      <c r="D602" s="260" t="s">
        <v>607</v>
      </c>
      <c r="E602" s="260" t="s">
        <v>146</v>
      </c>
      <c r="F602" s="260" t="s">
        <v>97</v>
      </c>
      <c r="G602" s="260" t="s">
        <v>609</v>
      </c>
      <c r="H602" s="227">
        <v>622</v>
      </c>
      <c r="I602" s="450"/>
      <c r="J602" s="483"/>
      <c r="K602" s="484"/>
      <c r="L602" s="35"/>
      <c r="M602" s="25">
        <v>116.4</v>
      </c>
      <c r="N602" s="25">
        <v>116.4</v>
      </c>
      <c r="O602" s="25">
        <f t="shared" si="269"/>
        <v>102.2</v>
      </c>
      <c r="P602" s="25">
        <v>102.2</v>
      </c>
      <c r="Q602" s="25"/>
      <c r="R602" s="25">
        <f t="shared" si="267"/>
        <v>101.3</v>
      </c>
      <c r="S602" s="25">
        <v>101.3</v>
      </c>
      <c r="T602" s="25"/>
      <c r="U602" s="25">
        <f t="shared" si="268"/>
        <v>102.3</v>
      </c>
      <c r="V602" s="25">
        <v>102.3</v>
      </c>
      <c r="W602" s="25"/>
    </row>
    <row r="603" spans="1:23">
      <c r="A603" s="626"/>
      <c r="B603" s="440"/>
      <c r="C603" s="482"/>
      <c r="D603" s="260" t="s">
        <v>607</v>
      </c>
      <c r="E603" s="260" t="s">
        <v>146</v>
      </c>
      <c r="F603" s="260" t="s">
        <v>146</v>
      </c>
      <c r="G603" s="260" t="s">
        <v>608</v>
      </c>
      <c r="H603" s="227">
        <v>622</v>
      </c>
      <c r="I603" s="450"/>
      <c r="J603" s="483"/>
      <c r="K603" s="484"/>
      <c r="L603" s="35">
        <v>96</v>
      </c>
      <c r="M603" s="352"/>
      <c r="N603" s="352"/>
      <c r="O603" s="25">
        <f t="shared" si="269"/>
        <v>0</v>
      </c>
      <c r="P603" s="25"/>
      <c r="Q603" s="25"/>
      <c r="R603" s="25">
        <f t="shared" si="267"/>
        <v>0</v>
      </c>
      <c r="S603" s="25"/>
      <c r="T603" s="25"/>
      <c r="U603" s="25">
        <f t="shared" si="268"/>
        <v>0</v>
      </c>
      <c r="V603" s="25"/>
      <c r="W603" s="25"/>
    </row>
    <row r="604" spans="1:23">
      <c r="A604" s="626"/>
      <c r="B604" s="440"/>
      <c r="C604" s="482"/>
      <c r="D604" s="260" t="s">
        <v>607</v>
      </c>
      <c r="E604" s="260" t="s">
        <v>146</v>
      </c>
      <c r="F604" s="260" t="s">
        <v>97</v>
      </c>
      <c r="G604" s="260" t="s">
        <v>608</v>
      </c>
      <c r="H604" s="227">
        <v>622</v>
      </c>
      <c r="I604" s="450"/>
      <c r="J604" s="483"/>
      <c r="K604" s="484"/>
      <c r="L604" s="35"/>
      <c r="M604" s="25">
        <v>91</v>
      </c>
      <c r="N604" s="25">
        <v>91</v>
      </c>
      <c r="O604" s="25">
        <f t="shared" si="269"/>
        <v>79.900000000000006</v>
      </c>
      <c r="P604" s="25">
        <v>79.900000000000006</v>
      </c>
      <c r="Q604" s="25"/>
      <c r="R604" s="25">
        <f t="shared" si="267"/>
        <v>79.2</v>
      </c>
      <c r="S604" s="25">
        <v>79.2</v>
      </c>
      <c r="T604" s="25"/>
      <c r="U604" s="25">
        <f t="shared" si="268"/>
        <v>80</v>
      </c>
      <c r="V604" s="25">
        <v>80</v>
      </c>
      <c r="W604" s="25"/>
    </row>
    <row r="605" spans="1:23">
      <c r="A605" s="626"/>
      <c r="B605" s="440"/>
      <c r="C605" s="482"/>
      <c r="D605" s="260" t="s">
        <v>607</v>
      </c>
      <c r="E605" s="260" t="s">
        <v>146</v>
      </c>
      <c r="F605" s="260" t="s">
        <v>146</v>
      </c>
      <c r="G605" s="260" t="s">
        <v>554</v>
      </c>
      <c r="H605" s="227">
        <v>622</v>
      </c>
      <c r="I605" s="450"/>
      <c r="J605" s="483"/>
      <c r="K605" s="484"/>
      <c r="L605" s="35">
        <v>190.2</v>
      </c>
      <c r="M605" s="25">
        <v>180.7</v>
      </c>
      <c r="N605" s="25">
        <v>180.7</v>
      </c>
      <c r="O605" s="25">
        <f t="shared" si="269"/>
        <v>175.6</v>
      </c>
      <c r="P605" s="25">
        <v>175.6</v>
      </c>
      <c r="Q605" s="25"/>
      <c r="R605" s="25">
        <f t="shared" si="267"/>
        <v>174</v>
      </c>
      <c r="S605" s="25">
        <v>174</v>
      </c>
      <c r="T605" s="25"/>
      <c r="U605" s="25">
        <f t="shared" si="268"/>
        <v>175.7</v>
      </c>
      <c r="V605" s="25">
        <v>175.7</v>
      </c>
      <c r="W605" s="25"/>
    </row>
    <row r="606" spans="1:23">
      <c r="A606" s="626"/>
      <c r="B606" s="440"/>
      <c r="C606" s="482"/>
      <c r="D606" s="260" t="s">
        <v>561</v>
      </c>
      <c r="E606" s="260" t="s">
        <v>81</v>
      </c>
      <c r="F606" s="260" t="s">
        <v>143</v>
      </c>
      <c r="G606" s="260" t="s">
        <v>1056</v>
      </c>
      <c r="H606" s="227">
        <v>622</v>
      </c>
      <c r="I606" s="450"/>
      <c r="J606" s="483"/>
      <c r="K606" s="484"/>
      <c r="L606" s="35">
        <v>83.6</v>
      </c>
      <c r="M606" s="25">
        <v>68.400000000000006</v>
      </c>
      <c r="N606" s="25">
        <v>68.400000000000006</v>
      </c>
      <c r="O606" s="25">
        <f t="shared" si="269"/>
        <v>60.1</v>
      </c>
      <c r="P606" s="25">
        <v>60.1</v>
      </c>
      <c r="Q606" s="25"/>
      <c r="R606" s="25">
        <f t="shared" si="267"/>
        <v>59.5</v>
      </c>
      <c r="S606" s="25">
        <v>59.5</v>
      </c>
      <c r="T606" s="25"/>
      <c r="U606" s="25">
        <f t="shared" si="268"/>
        <v>60.1</v>
      </c>
      <c r="V606" s="25">
        <v>60.1</v>
      </c>
      <c r="W606" s="25"/>
    </row>
    <row r="607" spans="1:23">
      <c r="A607" s="626"/>
      <c r="B607" s="440"/>
      <c r="C607" s="482"/>
      <c r="D607" s="260" t="s">
        <v>605</v>
      </c>
      <c r="E607" s="260" t="s">
        <v>81</v>
      </c>
      <c r="F607" s="260" t="s">
        <v>143</v>
      </c>
      <c r="G607" s="260" t="s">
        <v>617</v>
      </c>
      <c r="H607" s="227">
        <v>622</v>
      </c>
      <c r="I607" s="450"/>
      <c r="J607" s="483"/>
      <c r="K607" s="484"/>
      <c r="L607" s="35"/>
      <c r="M607" s="25">
        <v>9363.5</v>
      </c>
      <c r="N607" s="25">
        <v>9363.5</v>
      </c>
      <c r="O607" s="25">
        <f t="shared" si="269"/>
        <v>0</v>
      </c>
      <c r="P607" s="25"/>
      <c r="Q607" s="25"/>
      <c r="R607" s="25">
        <f t="shared" si="267"/>
        <v>0</v>
      </c>
      <c r="S607" s="25"/>
      <c r="T607" s="25"/>
      <c r="U607" s="25">
        <f t="shared" si="268"/>
        <v>0</v>
      </c>
      <c r="V607" s="25"/>
      <c r="W607" s="25"/>
    </row>
    <row r="608" spans="1:23">
      <c r="A608" s="626"/>
      <c r="B608" s="440"/>
      <c r="C608" s="482"/>
      <c r="D608" s="260" t="s">
        <v>596</v>
      </c>
      <c r="E608" s="260" t="s">
        <v>81</v>
      </c>
      <c r="F608" s="260" t="s">
        <v>143</v>
      </c>
      <c r="G608" s="260" t="s">
        <v>597</v>
      </c>
      <c r="H608" s="227">
        <v>622</v>
      </c>
      <c r="I608" s="450"/>
      <c r="J608" s="483"/>
      <c r="K608" s="484"/>
      <c r="L608" s="35">
        <v>1114.7</v>
      </c>
      <c r="M608" s="25">
        <v>1380</v>
      </c>
      <c r="N608" s="25">
        <v>495.7</v>
      </c>
      <c r="O608" s="25">
        <f t="shared" si="269"/>
        <v>655.7</v>
      </c>
      <c r="P608" s="77">
        <v>655.7</v>
      </c>
      <c r="Q608" s="77"/>
      <c r="R608" s="25">
        <f t="shared" si="267"/>
        <v>555.9</v>
      </c>
      <c r="S608" s="77">
        <v>555.9</v>
      </c>
      <c r="T608" s="77"/>
      <c r="U608" s="25">
        <f t="shared" si="268"/>
        <v>663.5</v>
      </c>
      <c r="V608" s="77">
        <v>663.5</v>
      </c>
      <c r="W608" s="25"/>
    </row>
    <row r="609" spans="1:23">
      <c r="A609" s="626"/>
      <c r="B609" s="440"/>
      <c r="C609" s="482"/>
      <c r="D609" s="260" t="s">
        <v>605</v>
      </c>
      <c r="E609" s="260" t="s">
        <v>81</v>
      </c>
      <c r="F609" s="260" t="s">
        <v>95</v>
      </c>
      <c r="G609" s="260" t="s">
        <v>610</v>
      </c>
      <c r="H609" s="227">
        <v>622</v>
      </c>
      <c r="I609" s="450"/>
      <c r="J609" s="483"/>
      <c r="K609" s="484"/>
      <c r="L609" s="35">
        <v>3903.9</v>
      </c>
      <c r="M609" s="25">
        <v>3604.9</v>
      </c>
      <c r="N609" s="25">
        <v>1026.7</v>
      </c>
      <c r="O609" s="25">
        <f t="shared" si="269"/>
        <v>825.4</v>
      </c>
      <c r="P609" s="25">
        <v>825.4</v>
      </c>
      <c r="Q609" s="25"/>
      <c r="R609" s="25">
        <f t="shared" si="267"/>
        <v>817.8</v>
      </c>
      <c r="S609" s="25">
        <v>817.8</v>
      </c>
      <c r="T609" s="25"/>
      <c r="U609" s="25">
        <f t="shared" si="268"/>
        <v>826</v>
      </c>
      <c r="V609" s="25">
        <v>826</v>
      </c>
      <c r="W609" s="25"/>
    </row>
    <row r="610" spans="1:23">
      <c r="A610" s="626"/>
      <c r="B610" s="440"/>
      <c r="C610" s="482"/>
      <c r="D610" s="260" t="s">
        <v>605</v>
      </c>
      <c r="E610" s="260" t="s">
        <v>81</v>
      </c>
      <c r="F610" s="260" t="s">
        <v>95</v>
      </c>
      <c r="G610" s="260" t="s">
        <v>617</v>
      </c>
      <c r="H610" s="227">
        <v>622</v>
      </c>
      <c r="I610" s="450"/>
      <c r="J610" s="483"/>
      <c r="K610" s="484"/>
      <c r="L610" s="130">
        <v>700</v>
      </c>
      <c r="M610" s="79">
        <v>775.2</v>
      </c>
      <c r="N610" s="79">
        <v>775.2</v>
      </c>
      <c r="O610" s="25">
        <f t="shared" si="269"/>
        <v>0</v>
      </c>
      <c r="P610" s="25"/>
      <c r="Q610" s="25"/>
      <c r="R610" s="25">
        <f t="shared" si="267"/>
        <v>0</v>
      </c>
      <c r="S610" s="25"/>
      <c r="T610" s="25"/>
      <c r="U610" s="25">
        <f t="shared" si="268"/>
        <v>0</v>
      </c>
      <c r="V610" s="25"/>
      <c r="W610" s="25"/>
    </row>
    <row r="611" spans="1:23">
      <c r="A611" s="626"/>
      <c r="B611" s="440"/>
      <c r="C611" s="482"/>
      <c r="D611" s="260" t="s">
        <v>605</v>
      </c>
      <c r="E611" s="260" t="s">
        <v>81</v>
      </c>
      <c r="F611" s="260" t="s">
        <v>95</v>
      </c>
      <c r="G611" s="260" t="s">
        <v>597</v>
      </c>
      <c r="H611" s="227">
        <v>622</v>
      </c>
      <c r="I611" s="450"/>
      <c r="J611" s="483"/>
      <c r="K611" s="484"/>
      <c r="L611" s="130"/>
      <c r="M611" s="79">
        <v>18.8</v>
      </c>
      <c r="N611" s="79"/>
      <c r="O611" s="25">
        <f t="shared" si="269"/>
        <v>0</v>
      </c>
      <c r="P611" s="25"/>
      <c r="Q611" s="25"/>
      <c r="R611" s="25">
        <f t="shared" si="267"/>
        <v>0</v>
      </c>
      <c r="S611" s="25"/>
      <c r="T611" s="25"/>
      <c r="U611" s="25">
        <f t="shared" si="268"/>
        <v>0</v>
      </c>
      <c r="V611" s="25"/>
      <c r="W611" s="25"/>
    </row>
    <row r="612" spans="1:23">
      <c r="A612" s="626"/>
      <c r="B612" s="440"/>
      <c r="C612" s="482"/>
      <c r="D612" s="260" t="s">
        <v>605</v>
      </c>
      <c r="E612" s="260" t="s">
        <v>81</v>
      </c>
      <c r="F612" s="260" t="s">
        <v>95</v>
      </c>
      <c r="G612" s="260" t="s">
        <v>1057</v>
      </c>
      <c r="H612" s="227">
        <v>622</v>
      </c>
      <c r="I612" s="450"/>
      <c r="J612" s="483"/>
      <c r="K612" s="484"/>
      <c r="L612" s="130">
        <v>3885.9</v>
      </c>
      <c r="M612" s="51"/>
      <c r="N612" s="25"/>
      <c r="O612" s="25">
        <f t="shared" si="269"/>
        <v>0</v>
      </c>
      <c r="P612" s="25"/>
      <c r="Q612" s="25"/>
      <c r="R612" s="25">
        <f t="shared" si="267"/>
        <v>0</v>
      </c>
      <c r="S612" s="25"/>
      <c r="T612" s="25"/>
      <c r="U612" s="25">
        <f t="shared" si="268"/>
        <v>0</v>
      </c>
      <c r="V612" s="25"/>
      <c r="W612" s="25"/>
    </row>
    <row r="613" spans="1:23">
      <c r="A613" s="626"/>
      <c r="B613" s="440"/>
      <c r="C613" s="482"/>
      <c r="D613" s="260" t="s">
        <v>353</v>
      </c>
      <c r="E613" s="260" t="s">
        <v>81</v>
      </c>
      <c r="F613" s="260" t="s">
        <v>95</v>
      </c>
      <c r="G613" s="260" t="s">
        <v>1041</v>
      </c>
      <c r="H613" s="227">
        <v>622</v>
      </c>
      <c r="I613" s="450"/>
      <c r="J613" s="483"/>
      <c r="K613" s="484"/>
      <c r="L613" s="130">
        <v>21.4</v>
      </c>
      <c r="M613" s="25"/>
      <c r="N613" s="25"/>
      <c r="O613" s="25">
        <f t="shared" si="269"/>
        <v>0</v>
      </c>
      <c r="P613" s="25"/>
      <c r="Q613" s="25"/>
      <c r="R613" s="25">
        <f t="shared" si="267"/>
        <v>0</v>
      </c>
      <c r="S613" s="25"/>
      <c r="T613" s="25"/>
      <c r="U613" s="25">
        <f t="shared" si="268"/>
        <v>0</v>
      </c>
      <c r="V613" s="25"/>
      <c r="W613" s="25"/>
    </row>
    <row r="614" spans="1:23">
      <c r="A614" s="626"/>
      <c r="B614" s="440"/>
      <c r="C614" s="482"/>
      <c r="D614" s="260" t="s">
        <v>454</v>
      </c>
      <c r="E614" s="260" t="s">
        <v>81</v>
      </c>
      <c r="F614" s="260" t="s">
        <v>143</v>
      </c>
      <c r="G614" s="260" t="s">
        <v>192</v>
      </c>
      <c r="H614" s="227">
        <v>622</v>
      </c>
      <c r="I614" s="450"/>
      <c r="J614" s="483"/>
      <c r="K614" s="484"/>
      <c r="L614" s="130"/>
      <c r="M614" s="25">
        <v>145.5</v>
      </c>
      <c r="N614" s="25">
        <v>50</v>
      </c>
      <c r="O614" s="25">
        <f t="shared" si="269"/>
        <v>0</v>
      </c>
      <c r="P614" s="25"/>
      <c r="Q614" s="25"/>
      <c r="R614" s="25">
        <f t="shared" si="267"/>
        <v>0</v>
      </c>
      <c r="S614" s="25"/>
      <c r="T614" s="25"/>
      <c r="U614" s="25">
        <f t="shared" si="268"/>
        <v>0</v>
      </c>
      <c r="V614" s="25"/>
      <c r="W614" s="25"/>
    </row>
    <row r="615" spans="1:23">
      <c r="A615" s="626"/>
      <c r="B615" s="440"/>
      <c r="C615" s="482"/>
      <c r="D615" s="260" t="s">
        <v>454</v>
      </c>
      <c r="E615" s="260" t="s">
        <v>81</v>
      </c>
      <c r="F615" s="260" t="s">
        <v>95</v>
      </c>
      <c r="G615" s="260" t="s">
        <v>192</v>
      </c>
      <c r="H615" s="227">
        <v>622</v>
      </c>
      <c r="I615" s="450"/>
      <c r="J615" s="483"/>
      <c r="K615" s="484"/>
      <c r="L615" s="130">
        <f>150+226</f>
        <v>376</v>
      </c>
      <c r="M615" s="79">
        <v>1060</v>
      </c>
      <c r="N615" s="79">
        <v>1060</v>
      </c>
      <c r="O615" s="25">
        <f t="shared" si="269"/>
        <v>0</v>
      </c>
      <c r="P615" s="25"/>
      <c r="Q615" s="25"/>
      <c r="R615" s="25">
        <f t="shared" si="267"/>
        <v>0</v>
      </c>
      <c r="S615" s="25"/>
      <c r="T615" s="25"/>
      <c r="U615" s="25">
        <f t="shared" si="268"/>
        <v>0</v>
      </c>
      <c r="V615" s="25"/>
      <c r="W615" s="25"/>
    </row>
    <row r="616" spans="1:23">
      <c r="A616" s="626"/>
      <c r="B616" s="440"/>
      <c r="C616" s="482"/>
      <c r="D616" s="260" t="s">
        <v>1021</v>
      </c>
      <c r="E616" s="260" t="s">
        <v>81</v>
      </c>
      <c r="F616" s="260" t="s">
        <v>95</v>
      </c>
      <c r="G616" s="260" t="s">
        <v>192</v>
      </c>
      <c r="H616" s="227">
        <v>622</v>
      </c>
      <c r="I616" s="450"/>
      <c r="J616" s="483"/>
      <c r="K616" s="484"/>
      <c r="L616" s="130">
        <v>668</v>
      </c>
      <c r="M616" s="79"/>
      <c r="N616" s="79"/>
      <c r="O616" s="25">
        <f t="shared" si="269"/>
        <v>0</v>
      </c>
      <c r="P616" s="25"/>
      <c r="Q616" s="25"/>
      <c r="R616" s="25">
        <f>SUM(S616:T616)</f>
        <v>0</v>
      </c>
      <c r="S616" s="25"/>
      <c r="T616" s="25"/>
      <c r="U616" s="25">
        <f>SUM(V616:W616)</f>
        <v>0</v>
      </c>
      <c r="V616" s="25"/>
      <c r="W616" s="25"/>
    </row>
    <row r="617" spans="1:23">
      <c r="A617" s="485" t="s">
        <v>163</v>
      </c>
      <c r="B617" s="485"/>
      <c r="C617" s="485"/>
      <c r="D617" s="485"/>
      <c r="E617" s="485"/>
      <c r="F617" s="485"/>
      <c r="G617" s="485"/>
      <c r="H617" s="485"/>
      <c r="I617" s="485"/>
      <c r="J617" s="485"/>
      <c r="K617" s="485"/>
      <c r="L617" s="78">
        <f t="shared" ref="L617:W617" si="270">SUM(L618:L618)</f>
        <v>0</v>
      </c>
      <c r="M617" s="78">
        <f t="shared" si="270"/>
        <v>5000</v>
      </c>
      <c r="N617" s="78">
        <f t="shared" si="270"/>
        <v>3548</v>
      </c>
      <c r="O617" s="78">
        <f t="shared" si="270"/>
        <v>5000</v>
      </c>
      <c r="P617" s="78">
        <f t="shared" si="270"/>
        <v>5000</v>
      </c>
      <c r="Q617" s="78">
        <f t="shared" si="270"/>
        <v>0</v>
      </c>
      <c r="R617" s="78">
        <f t="shared" si="270"/>
        <v>5000</v>
      </c>
      <c r="S617" s="78">
        <f t="shared" si="270"/>
        <v>5000</v>
      </c>
      <c r="T617" s="78">
        <f t="shared" si="270"/>
        <v>0</v>
      </c>
      <c r="U617" s="78">
        <f t="shared" si="270"/>
        <v>5000</v>
      </c>
      <c r="V617" s="78">
        <f t="shared" si="270"/>
        <v>5000</v>
      </c>
      <c r="W617" s="78">
        <f t="shared" si="270"/>
        <v>0</v>
      </c>
    </row>
    <row r="618" spans="1:23" ht="318.75">
      <c r="A618" s="384" t="s">
        <v>155</v>
      </c>
      <c r="B618" s="230" t="s">
        <v>1334</v>
      </c>
      <c r="C618" s="387"/>
      <c r="D618" s="218" t="s">
        <v>605</v>
      </c>
      <c r="E618" s="217" t="s">
        <v>81</v>
      </c>
      <c r="F618" s="226" t="s">
        <v>143</v>
      </c>
      <c r="G618" s="217">
        <v>1210425270</v>
      </c>
      <c r="H618" s="217">
        <v>633</v>
      </c>
      <c r="I618" s="229" t="s">
        <v>1335</v>
      </c>
      <c r="J618" s="228" t="s">
        <v>1336</v>
      </c>
      <c r="K618" s="228" t="s">
        <v>1337</v>
      </c>
      <c r="L618" s="25"/>
      <c r="M618" s="25">
        <v>5000</v>
      </c>
      <c r="N618" s="25">
        <v>3548</v>
      </c>
      <c r="O618" s="25">
        <f>SUM(P618:Q618)</f>
        <v>5000</v>
      </c>
      <c r="P618" s="25">
        <v>5000</v>
      </c>
      <c r="Q618" s="25"/>
      <c r="R618" s="25">
        <f>SUM(S618:T618)</f>
        <v>5000</v>
      </c>
      <c r="S618" s="25">
        <v>5000</v>
      </c>
      <c r="T618" s="25"/>
      <c r="U618" s="25">
        <f>SUM(V618:W618)</f>
        <v>5000</v>
      </c>
      <c r="V618" s="25">
        <v>5000</v>
      </c>
      <c r="W618" s="25"/>
    </row>
    <row r="619" spans="1:23" ht="56.25">
      <c r="A619" s="12" t="s">
        <v>161</v>
      </c>
      <c r="B619" s="262" t="s">
        <v>1338</v>
      </c>
      <c r="C619" s="8"/>
      <c r="D619" s="644"/>
      <c r="E619" s="644"/>
      <c r="F619" s="644"/>
      <c r="G619" s="644"/>
      <c r="H619" s="644"/>
      <c r="I619" s="8"/>
      <c r="J619" s="8"/>
      <c r="K619" s="8" t="s">
        <v>62</v>
      </c>
      <c r="L619" s="19">
        <f>L620+L704+L712</f>
        <v>1098181.5599999998</v>
      </c>
      <c r="M619" s="19">
        <f t="shared" ref="M619:W619" si="271">M620+M704+M712</f>
        <v>1067453.3</v>
      </c>
      <c r="N619" s="19">
        <f t="shared" si="271"/>
        <v>718128.70000000007</v>
      </c>
      <c r="O619" s="19">
        <f t="shared" si="271"/>
        <v>1080873.7000000002</v>
      </c>
      <c r="P619" s="19">
        <f t="shared" si="271"/>
        <v>1080873.8</v>
      </c>
      <c r="Q619" s="19">
        <f t="shared" si="271"/>
        <v>0</v>
      </c>
      <c r="R619" s="19">
        <f t="shared" si="271"/>
        <v>1074175.2</v>
      </c>
      <c r="S619" s="19">
        <f t="shared" si="271"/>
        <v>1074175.2</v>
      </c>
      <c r="T619" s="19">
        <f t="shared" si="271"/>
        <v>0</v>
      </c>
      <c r="U619" s="19">
        <f t="shared" si="271"/>
        <v>1082066.69</v>
      </c>
      <c r="V619" s="19">
        <f t="shared" si="271"/>
        <v>1082066.69</v>
      </c>
      <c r="W619" s="19">
        <f t="shared" si="271"/>
        <v>0</v>
      </c>
    </row>
    <row r="620" spans="1:23">
      <c r="A620" s="630" t="s">
        <v>9</v>
      </c>
      <c r="B620" s="421" t="s">
        <v>67</v>
      </c>
      <c r="C620" s="421"/>
      <c r="D620" s="421"/>
      <c r="E620" s="421"/>
      <c r="F620" s="421"/>
      <c r="G620" s="421"/>
      <c r="H620" s="421"/>
      <c r="I620" s="421"/>
      <c r="J620" s="421"/>
      <c r="K620" s="421"/>
      <c r="L620" s="666">
        <f>SUM(L621,L625,L633,L638,)</f>
        <v>1096039.46</v>
      </c>
      <c r="M620" s="666">
        <f t="shared" ref="M620:W620" si="272">SUM(M621,M625,M633,M638,)</f>
        <v>1058584.3</v>
      </c>
      <c r="N620" s="666">
        <f t="shared" si="272"/>
        <v>715554.10000000009</v>
      </c>
      <c r="O620" s="666">
        <f t="shared" si="272"/>
        <v>1068203.5</v>
      </c>
      <c r="P620" s="666">
        <f t="shared" si="272"/>
        <v>1068203.5999999999</v>
      </c>
      <c r="Q620" s="666">
        <f t="shared" si="272"/>
        <v>0</v>
      </c>
      <c r="R620" s="666">
        <f t="shared" si="272"/>
        <v>1061622.2</v>
      </c>
      <c r="S620" s="666">
        <f t="shared" si="272"/>
        <v>1061622.2</v>
      </c>
      <c r="T620" s="666">
        <f t="shared" si="272"/>
        <v>0</v>
      </c>
      <c r="U620" s="666">
        <f t="shared" si="272"/>
        <v>1069387.3899999999</v>
      </c>
      <c r="V620" s="666">
        <f t="shared" si="272"/>
        <v>1069387.3899999999</v>
      </c>
      <c r="W620" s="666">
        <f t="shared" si="272"/>
        <v>0</v>
      </c>
    </row>
    <row r="621" spans="1:23">
      <c r="A621" s="235" t="s">
        <v>57</v>
      </c>
      <c r="B621" s="229"/>
      <c r="C621" s="115"/>
      <c r="D621" s="383"/>
      <c r="E621" s="250"/>
      <c r="F621" s="250"/>
      <c r="G621" s="250"/>
      <c r="H621" s="250"/>
      <c r="I621" s="85"/>
      <c r="J621" s="118"/>
      <c r="K621" s="128"/>
      <c r="L621" s="95">
        <f t="shared" ref="L621:W621" si="273">SUM(L622:L624)</f>
        <v>14389.539999999999</v>
      </c>
      <c r="M621" s="95">
        <f t="shared" si="273"/>
        <v>17751.55</v>
      </c>
      <c r="N621" s="95">
        <f t="shared" si="273"/>
        <v>10893.45</v>
      </c>
      <c r="O621" s="159">
        <f t="shared" si="273"/>
        <v>18091.399999999998</v>
      </c>
      <c r="P621" s="159">
        <f t="shared" si="273"/>
        <v>18091.5</v>
      </c>
      <c r="Q621" s="159">
        <f t="shared" si="273"/>
        <v>0</v>
      </c>
      <c r="R621" s="159">
        <f t="shared" si="273"/>
        <v>17923.8</v>
      </c>
      <c r="S621" s="159">
        <f t="shared" si="273"/>
        <v>17923.8</v>
      </c>
      <c r="T621" s="159">
        <f t="shared" si="273"/>
        <v>0</v>
      </c>
      <c r="U621" s="159">
        <f t="shared" si="273"/>
        <v>18104.399999999998</v>
      </c>
      <c r="V621" s="159">
        <f t="shared" si="273"/>
        <v>18104.399999999998</v>
      </c>
      <c r="W621" s="95">
        <f t="shared" si="273"/>
        <v>0</v>
      </c>
    </row>
    <row r="622" spans="1:23" ht="243.75">
      <c r="A622" s="225" t="s">
        <v>10</v>
      </c>
      <c r="B622" s="229" t="s">
        <v>68</v>
      </c>
      <c r="C622" s="218"/>
      <c r="D622" s="226" t="s">
        <v>383</v>
      </c>
      <c r="E622" s="226" t="s">
        <v>146</v>
      </c>
      <c r="F622" s="226" t="s">
        <v>97</v>
      </c>
      <c r="G622" s="226" t="s">
        <v>618</v>
      </c>
      <c r="H622" s="250">
        <v>100</v>
      </c>
      <c r="I622" s="53" t="s">
        <v>619</v>
      </c>
      <c r="J622" s="36" t="s">
        <v>620</v>
      </c>
      <c r="K622" s="263"/>
      <c r="L622" s="90">
        <f>10503.3+81.2+3182.64</f>
        <v>13767.14</v>
      </c>
      <c r="M622" s="90">
        <f>12929.5+18+3885.45</f>
        <v>16832.95</v>
      </c>
      <c r="N622" s="90">
        <f>8095.6+2212.35</f>
        <v>10307.950000000001</v>
      </c>
      <c r="O622" s="90">
        <v>17284.849999999999</v>
      </c>
      <c r="P622" s="90">
        <v>17284.900000000001</v>
      </c>
      <c r="Q622" s="90"/>
      <c r="R622" s="90">
        <v>17124.7</v>
      </c>
      <c r="S622" s="90">
        <v>17124.7</v>
      </c>
      <c r="T622" s="90"/>
      <c r="U622" s="90">
        <v>17297.3</v>
      </c>
      <c r="V622" s="90">
        <v>17297.3</v>
      </c>
      <c r="W622" s="90"/>
    </row>
    <row r="623" spans="1:23" ht="150">
      <c r="A623" s="225"/>
      <c r="B623" s="229" t="s">
        <v>1037</v>
      </c>
      <c r="C623" s="121"/>
      <c r="D623" s="226" t="s">
        <v>383</v>
      </c>
      <c r="E623" s="226" t="s">
        <v>146</v>
      </c>
      <c r="F623" s="226" t="s">
        <v>97</v>
      </c>
      <c r="G623" s="226" t="s">
        <v>986</v>
      </c>
      <c r="H623" s="250">
        <v>100</v>
      </c>
      <c r="I623" s="53" t="s">
        <v>731</v>
      </c>
      <c r="J623" s="36"/>
      <c r="K623" s="36"/>
      <c r="L623" s="90">
        <v>120</v>
      </c>
      <c r="M623" s="90"/>
      <c r="N623" s="90"/>
      <c r="O623" s="90"/>
      <c r="P623" s="90"/>
      <c r="Q623" s="90"/>
      <c r="R623" s="90"/>
      <c r="S623" s="90"/>
      <c r="T623" s="90"/>
      <c r="U623" s="90"/>
      <c r="V623" s="90"/>
      <c r="W623" s="90"/>
    </row>
    <row r="624" spans="1:23" ht="112.5">
      <c r="A624" s="225" t="s">
        <v>20</v>
      </c>
      <c r="B624" s="229" t="s">
        <v>69</v>
      </c>
      <c r="C624" s="15"/>
      <c r="D624" s="226" t="s">
        <v>349</v>
      </c>
      <c r="E624" s="226" t="s">
        <v>146</v>
      </c>
      <c r="F624" s="226" t="s">
        <v>97</v>
      </c>
      <c r="G624" s="226" t="s">
        <v>618</v>
      </c>
      <c r="H624" s="250">
        <v>200</v>
      </c>
      <c r="I624" s="53" t="s">
        <v>623</v>
      </c>
      <c r="J624" s="85"/>
      <c r="K624" s="86"/>
      <c r="L624" s="90">
        <f>333.9+168.5</f>
        <v>502.4</v>
      </c>
      <c r="M624" s="90">
        <f>840.7+77.9</f>
        <v>918.6</v>
      </c>
      <c r="N624" s="90">
        <f>530.6+54.9</f>
        <v>585.5</v>
      </c>
      <c r="O624" s="90">
        <v>806.55</v>
      </c>
      <c r="P624" s="90">
        <v>806.6</v>
      </c>
      <c r="Q624" s="90"/>
      <c r="R624" s="90">
        <v>799.1</v>
      </c>
      <c r="S624" s="90">
        <v>799.1</v>
      </c>
      <c r="T624" s="90"/>
      <c r="U624" s="90">
        <v>807.1</v>
      </c>
      <c r="V624" s="90">
        <v>807.1</v>
      </c>
      <c r="W624" s="90"/>
    </row>
    <row r="625" spans="1:23">
      <c r="A625" s="411" t="s">
        <v>88</v>
      </c>
      <c r="B625" s="411"/>
      <c r="C625" s="411"/>
      <c r="D625" s="411"/>
      <c r="E625" s="411"/>
      <c r="F625" s="411"/>
      <c r="G625" s="411"/>
      <c r="H625" s="411"/>
      <c r="I625" s="411"/>
      <c r="J625" s="411"/>
      <c r="K625" s="411"/>
      <c r="L625" s="22">
        <f>SUM(L626,L630,L632)</f>
        <v>38372.620000000003</v>
      </c>
      <c r="M625" s="22">
        <f t="shared" ref="M625:W625" si="274">SUM(M626,M630,M632)</f>
        <v>43598.6</v>
      </c>
      <c r="N625" s="22">
        <f t="shared" si="274"/>
        <v>24851.85</v>
      </c>
      <c r="O625" s="22">
        <f t="shared" si="274"/>
        <v>54197.700000000004</v>
      </c>
      <c r="P625" s="22">
        <f t="shared" si="274"/>
        <v>54197.700000000004</v>
      </c>
      <c r="Q625" s="22">
        <f t="shared" si="274"/>
        <v>0</v>
      </c>
      <c r="R625" s="22">
        <f t="shared" si="274"/>
        <v>53695.5</v>
      </c>
      <c r="S625" s="22">
        <f t="shared" si="274"/>
        <v>53695.5</v>
      </c>
      <c r="T625" s="22">
        <f t="shared" si="274"/>
        <v>0</v>
      </c>
      <c r="U625" s="22">
        <f t="shared" si="274"/>
        <v>54236.89</v>
      </c>
      <c r="V625" s="22">
        <f t="shared" si="274"/>
        <v>54236.89</v>
      </c>
      <c r="W625" s="22">
        <f t="shared" si="274"/>
        <v>0</v>
      </c>
    </row>
    <row r="626" spans="1:23">
      <c r="A626" s="225" t="s">
        <v>12</v>
      </c>
      <c r="B626" s="229" t="s">
        <v>58</v>
      </c>
      <c r="C626" s="121"/>
      <c r="D626" s="218"/>
      <c r="E626" s="226"/>
      <c r="F626" s="226"/>
      <c r="G626" s="226"/>
      <c r="H626" s="250">
        <v>100</v>
      </c>
      <c r="I626" s="116"/>
      <c r="J626" s="36"/>
      <c r="K626" s="36"/>
      <c r="L626" s="90">
        <f>SUM(L627:L629)</f>
        <v>36708.120000000003</v>
      </c>
      <c r="M626" s="90">
        <f>SUM(M627:M629)</f>
        <v>41788.949999999997</v>
      </c>
      <c r="N626" s="90">
        <f>SUM(N627:N629)</f>
        <v>23863.3</v>
      </c>
      <c r="O626" s="90">
        <f t="shared" ref="O626" si="275">SUM(O627:O629)</f>
        <v>51156.3</v>
      </c>
      <c r="P626" s="90">
        <f>SUM(P627:P629)</f>
        <v>51156.3</v>
      </c>
      <c r="Q626" s="90">
        <f t="shared" ref="Q626:W626" si="276">SUM(Q627:Q629)</f>
        <v>0</v>
      </c>
      <c r="R626" s="90">
        <f t="shared" si="276"/>
        <v>50682.400000000001</v>
      </c>
      <c r="S626" s="90">
        <f t="shared" si="276"/>
        <v>50682.400000000001</v>
      </c>
      <c r="T626" s="90">
        <f t="shared" si="276"/>
        <v>0</v>
      </c>
      <c r="U626" s="90">
        <f t="shared" si="276"/>
        <v>51193.19</v>
      </c>
      <c r="V626" s="90">
        <f t="shared" si="276"/>
        <v>51193.19</v>
      </c>
      <c r="W626" s="90">
        <f t="shared" si="276"/>
        <v>0</v>
      </c>
    </row>
    <row r="627" spans="1:23" ht="112.5">
      <c r="A627" s="225" t="s">
        <v>48</v>
      </c>
      <c r="B627" s="229" t="s">
        <v>621</v>
      </c>
      <c r="C627" s="121"/>
      <c r="D627" s="226" t="s">
        <v>585</v>
      </c>
      <c r="E627" s="226" t="s">
        <v>146</v>
      </c>
      <c r="F627" s="226" t="s">
        <v>97</v>
      </c>
      <c r="G627" s="226" t="s">
        <v>622</v>
      </c>
      <c r="H627" s="250">
        <v>100</v>
      </c>
      <c r="I627" s="53" t="s">
        <v>623</v>
      </c>
      <c r="J627" s="36" t="s">
        <v>624</v>
      </c>
      <c r="K627" s="36"/>
      <c r="L627" s="90">
        <f>9360.6+23.1+2798.52</f>
        <v>12182.220000000001</v>
      </c>
      <c r="M627" s="90">
        <f>13109.3+22.2+3945.6</f>
        <v>17077.099999999999</v>
      </c>
      <c r="N627" s="90">
        <f>6771.1+1.6+1902.25</f>
        <v>8674.9500000000007</v>
      </c>
      <c r="O627" s="90">
        <v>19606.669999999998</v>
      </c>
      <c r="P627" s="90">
        <v>19606.669999999998</v>
      </c>
      <c r="Q627" s="90"/>
      <c r="R627" s="90">
        <v>19425.04</v>
      </c>
      <c r="S627" s="90">
        <v>19425.04</v>
      </c>
      <c r="T627" s="90"/>
      <c r="U627" s="90">
        <v>19620.810000000001</v>
      </c>
      <c r="V627" s="90">
        <v>19620.810000000001</v>
      </c>
      <c r="W627" s="90"/>
    </row>
    <row r="628" spans="1:23" ht="112.5">
      <c r="A628" s="225" t="s">
        <v>65</v>
      </c>
      <c r="B628" s="229" t="s">
        <v>625</v>
      </c>
      <c r="C628" s="121"/>
      <c r="D628" s="226" t="s">
        <v>585</v>
      </c>
      <c r="E628" s="226" t="s">
        <v>146</v>
      </c>
      <c r="F628" s="226" t="s">
        <v>97</v>
      </c>
      <c r="G628" s="226" t="s">
        <v>622</v>
      </c>
      <c r="H628" s="250">
        <v>100</v>
      </c>
      <c r="I628" s="53" t="s">
        <v>623</v>
      </c>
      <c r="J628" s="36"/>
      <c r="K628" s="36"/>
      <c r="L628" s="90">
        <f>17289.2+5151.7</f>
        <v>22440.9</v>
      </c>
      <c r="M628" s="90">
        <f>18998.5+5713.35</f>
        <v>24711.85</v>
      </c>
      <c r="N628" s="90">
        <f>11824.8+3363.55</f>
        <v>15188.349999999999</v>
      </c>
      <c r="O628" s="90">
        <v>31549.63</v>
      </c>
      <c r="P628" s="90">
        <v>31549.63</v>
      </c>
      <c r="Q628" s="90"/>
      <c r="R628" s="90">
        <v>31257.360000000001</v>
      </c>
      <c r="S628" s="90">
        <v>31257.360000000001</v>
      </c>
      <c r="T628" s="90"/>
      <c r="U628" s="90">
        <v>31572.38</v>
      </c>
      <c r="V628" s="90">
        <v>31572.38</v>
      </c>
      <c r="W628" s="90"/>
    </row>
    <row r="629" spans="1:23" ht="150">
      <c r="A629" s="225" t="s">
        <v>66</v>
      </c>
      <c r="B629" s="230" t="s">
        <v>1102</v>
      </c>
      <c r="C629" s="115"/>
      <c r="D629" s="226" t="s">
        <v>383</v>
      </c>
      <c r="E629" s="226" t="s">
        <v>146</v>
      </c>
      <c r="F629" s="226" t="s">
        <v>97</v>
      </c>
      <c r="G629" s="226" t="s">
        <v>1339</v>
      </c>
      <c r="H629" s="250">
        <v>100</v>
      </c>
      <c r="I629" s="122" t="s">
        <v>731</v>
      </c>
      <c r="J629" s="115"/>
      <c r="K629" s="14"/>
      <c r="L629" s="179">
        <f>1053+318+367+188.1+110.8+48.1</f>
        <v>2085</v>
      </c>
      <c r="M629" s="90"/>
      <c r="N629" s="90"/>
      <c r="O629" s="90"/>
      <c r="P629" s="90"/>
      <c r="Q629" s="90"/>
      <c r="R629" s="90"/>
      <c r="S629" s="90"/>
      <c r="T629" s="90"/>
      <c r="U629" s="90"/>
      <c r="V629" s="90"/>
      <c r="W629" s="90"/>
    </row>
    <row r="630" spans="1:23" ht="37.5">
      <c r="A630" s="225" t="s">
        <v>13</v>
      </c>
      <c r="B630" s="229" t="s">
        <v>32</v>
      </c>
      <c r="C630" s="15"/>
      <c r="D630" s="375"/>
      <c r="E630" s="226"/>
      <c r="F630" s="226"/>
      <c r="G630" s="226"/>
      <c r="H630" s="250">
        <v>200</v>
      </c>
      <c r="I630" s="85"/>
      <c r="J630" s="85"/>
      <c r="K630" s="86"/>
      <c r="L630" s="90">
        <f>L631</f>
        <v>1664</v>
      </c>
      <c r="M630" s="90">
        <f t="shared" ref="M630:W630" si="277">M631</f>
        <v>1809.65</v>
      </c>
      <c r="N630" s="90">
        <f t="shared" si="277"/>
        <v>988.55000000000007</v>
      </c>
      <c r="O630" s="90">
        <f t="shared" si="277"/>
        <v>3041.4</v>
      </c>
      <c r="P630" s="90">
        <f t="shared" si="277"/>
        <v>3041.4</v>
      </c>
      <c r="Q630" s="90">
        <f t="shared" si="277"/>
        <v>0</v>
      </c>
      <c r="R630" s="90">
        <f t="shared" si="277"/>
        <v>3013.1</v>
      </c>
      <c r="S630" s="90">
        <f t="shared" si="277"/>
        <v>3013.1</v>
      </c>
      <c r="T630" s="90">
        <f t="shared" si="277"/>
        <v>0</v>
      </c>
      <c r="U630" s="90">
        <f t="shared" si="277"/>
        <v>3043.7</v>
      </c>
      <c r="V630" s="90">
        <f t="shared" si="277"/>
        <v>3043.7</v>
      </c>
      <c r="W630" s="90">
        <f t="shared" si="277"/>
        <v>0</v>
      </c>
    </row>
    <row r="631" spans="1:23" ht="131.25">
      <c r="A631" s="225" t="s">
        <v>49</v>
      </c>
      <c r="B631" s="229" t="s">
        <v>1340</v>
      </c>
      <c r="C631" s="15"/>
      <c r="D631" s="226" t="s">
        <v>626</v>
      </c>
      <c r="E631" s="226" t="s">
        <v>146</v>
      </c>
      <c r="F631" s="226" t="s">
        <v>97</v>
      </c>
      <c r="G631" s="226" t="s">
        <v>622</v>
      </c>
      <c r="H631" s="250">
        <v>200</v>
      </c>
      <c r="I631" s="53" t="s">
        <v>627</v>
      </c>
      <c r="J631" s="85"/>
      <c r="K631" s="86"/>
      <c r="L631" s="90">
        <f>782.4+881.6</f>
        <v>1664</v>
      </c>
      <c r="M631" s="90">
        <f>899.65+910</f>
        <v>1809.65</v>
      </c>
      <c r="N631" s="90">
        <f>615.2+373.35</f>
        <v>988.55000000000007</v>
      </c>
      <c r="O631" s="90">
        <v>3041.4</v>
      </c>
      <c r="P631" s="90">
        <v>3041.4</v>
      </c>
      <c r="Q631" s="90"/>
      <c r="R631" s="90">
        <v>3013.1</v>
      </c>
      <c r="S631" s="90">
        <v>3013.1</v>
      </c>
      <c r="T631" s="90"/>
      <c r="U631" s="90">
        <v>3043.7</v>
      </c>
      <c r="V631" s="90">
        <v>3043.7</v>
      </c>
      <c r="W631" s="90"/>
    </row>
    <row r="632" spans="1:23" ht="131.25">
      <c r="A632" s="225" t="s">
        <v>50</v>
      </c>
      <c r="B632" s="229" t="s">
        <v>31</v>
      </c>
      <c r="C632" s="121"/>
      <c r="D632" s="226" t="s">
        <v>626</v>
      </c>
      <c r="E632" s="226" t="s">
        <v>146</v>
      </c>
      <c r="F632" s="226" t="s">
        <v>97</v>
      </c>
      <c r="G632" s="226" t="s">
        <v>622</v>
      </c>
      <c r="H632" s="250">
        <v>800</v>
      </c>
      <c r="I632" s="53" t="s">
        <v>627</v>
      </c>
      <c r="J632" s="36"/>
      <c r="K632" s="36"/>
      <c r="L632" s="90">
        <v>0.5</v>
      </c>
      <c r="M632" s="90"/>
      <c r="N632" s="90"/>
      <c r="O632" s="90"/>
      <c r="P632" s="90"/>
      <c r="Q632" s="90"/>
      <c r="R632" s="90"/>
      <c r="S632" s="90"/>
      <c r="T632" s="90"/>
      <c r="U632" s="90"/>
      <c r="V632" s="90"/>
      <c r="W632" s="90"/>
    </row>
    <row r="633" spans="1:23">
      <c r="A633" s="505" t="s">
        <v>73</v>
      </c>
      <c r="B633" s="505"/>
      <c r="C633" s="505"/>
      <c r="D633" s="505"/>
      <c r="E633" s="505"/>
      <c r="F633" s="505"/>
      <c r="G633" s="505"/>
      <c r="H633" s="505"/>
      <c r="I633" s="505"/>
      <c r="J633" s="505"/>
      <c r="K633" s="505"/>
      <c r="L633" s="321">
        <f>SUM(L634)</f>
        <v>43.2</v>
      </c>
      <c r="M633" s="321">
        <f>SUM(M634)</f>
        <v>312.25</v>
      </c>
      <c r="N633" s="321">
        <f>SUM(N634)</f>
        <v>7</v>
      </c>
      <c r="O633" s="321">
        <f t="shared" ref="O633:W633" si="278">SUM(O634)</f>
        <v>269.89999999999998</v>
      </c>
      <c r="P633" s="321">
        <f t="shared" si="278"/>
        <v>269.89999999999998</v>
      </c>
      <c r="Q633" s="321">
        <f t="shared" si="278"/>
        <v>0</v>
      </c>
      <c r="R633" s="321">
        <f t="shared" si="278"/>
        <v>267.5</v>
      </c>
      <c r="S633" s="321">
        <f t="shared" si="278"/>
        <v>267.5</v>
      </c>
      <c r="T633" s="321">
        <f t="shared" si="278"/>
        <v>0</v>
      </c>
      <c r="U633" s="321">
        <f t="shared" si="278"/>
        <v>270.10000000000002</v>
      </c>
      <c r="V633" s="321">
        <f t="shared" si="278"/>
        <v>270.10000000000002</v>
      </c>
      <c r="W633" s="321">
        <f t="shared" si="278"/>
        <v>0</v>
      </c>
    </row>
    <row r="634" spans="1:23" ht="37.5">
      <c r="A634" s="225" t="s">
        <v>21</v>
      </c>
      <c r="B634" s="229" t="s">
        <v>89</v>
      </c>
      <c r="C634" s="15"/>
      <c r="D634" s="16"/>
      <c r="E634" s="226"/>
      <c r="F634" s="226"/>
      <c r="G634" s="226"/>
      <c r="H634" s="250">
        <v>200</v>
      </c>
      <c r="I634" s="85"/>
      <c r="J634" s="85"/>
      <c r="K634" s="86"/>
      <c r="L634" s="90">
        <f t="shared" ref="L634:W634" si="279">SUM(L635:L637)</f>
        <v>43.2</v>
      </c>
      <c r="M634" s="90">
        <f t="shared" si="279"/>
        <v>312.25</v>
      </c>
      <c r="N634" s="90">
        <f t="shared" si="279"/>
        <v>7</v>
      </c>
      <c r="O634" s="90">
        <f t="shared" si="279"/>
        <v>269.89999999999998</v>
      </c>
      <c r="P634" s="90">
        <f t="shared" si="279"/>
        <v>269.89999999999998</v>
      </c>
      <c r="Q634" s="90">
        <f t="shared" si="279"/>
        <v>0</v>
      </c>
      <c r="R634" s="90">
        <f t="shared" si="279"/>
        <v>267.5</v>
      </c>
      <c r="S634" s="90">
        <f t="shared" si="279"/>
        <v>267.5</v>
      </c>
      <c r="T634" s="90">
        <f t="shared" si="279"/>
        <v>0</v>
      </c>
      <c r="U634" s="90">
        <f t="shared" si="279"/>
        <v>270.10000000000002</v>
      </c>
      <c r="V634" s="90">
        <f t="shared" si="279"/>
        <v>270.10000000000002</v>
      </c>
      <c r="W634" s="90">
        <f t="shared" si="279"/>
        <v>0</v>
      </c>
    </row>
    <row r="635" spans="1:23" ht="112.5">
      <c r="A635" s="225" t="s">
        <v>488</v>
      </c>
      <c r="B635" s="229" t="s">
        <v>629</v>
      </c>
      <c r="C635" s="15"/>
      <c r="D635" s="226" t="s">
        <v>585</v>
      </c>
      <c r="E635" s="226" t="s">
        <v>146</v>
      </c>
      <c r="F635" s="226" t="s">
        <v>97</v>
      </c>
      <c r="G635" s="226" t="s">
        <v>631</v>
      </c>
      <c r="H635" s="250">
        <v>200</v>
      </c>
      <c r="I635" s="86" t="s">
        <v>1341</v>
      </c>
      <c r="J635" s="85"/>
      <c r="K635" s="86"/>
      <c r="L635" s="90">
        <v>29.2</v>
      </c>
      <c r="M635" s="90">
        <v>305.25</v>
      </c>
      <c r="N635" s="90">
        <v>3</v>
      </c>
      <c r="O635" s="90">
        <v>245.9</v>
      </c>
      <c r="P635" s="90">
        <v>245.9</v>
      </c>
      <c r="Q635" s="90"/>
      <c r="R635" s="90">
        <v>243.6</v>
      </c>
      <c r="S635" s="90">
        <v>243.6</v>
      </c>
      <c r="T635" s="90"/>
      <c r="U635" s="90">
        <v>246.1</v>
      </c>
      <c r="V635" s="90">
        <v>246.1</v>
      </c>
      <c r="W635" s="90"/>
    </row>
    <row r="636" spans="1:23" ht="112.5">
      <c r="A636" s="225" t="s">
        <v>489</v>
      </c>
      <c r="B636" s="238" t="s">
        <v>632</v>
      </c>
      <c r="C636" s="173"/>
      <c r="D636" s="226" t="s">
        <v>585</v>
      </c>
      <c r="E636" s="226" t="s">
        <v>146</v>
      </c>
      <c r="F636" s="226" t="s">
        <v>97</v>
      </c>
      <c r="G636" s="226" t="s">
        <v>633</v>
      </c>
      <c r="H636" s="226">
        <v>200</v>
      </c>
      <c r="I636" s="119" t="s">
        <v>1341</v>
      </c>
      <c r="J636" s="84"/>
      <c r="K636" s="119"/>
      <c r="L636" s="90">
        <v>9</v>
      </c>
      <c r="M636" s="171"/>
      <c r="N636" s="90"/>
      <c r="O636" s="90">
        <v>10</v>
      </c>
      <c r="P636" s="90">
        <v>10</v>
      </c>
      <c r="Q636" s="90"/>
      <c r="R636" s="90">
        <v>10</v>
      </c>
      <c r="S636" s="90">
        <v>10</v>
      </c>
      <c r="T636" s="90"/>
      <c r="U636" s="90">
        <v>10</v>
      </c>
      <c r="V636" s="90">
        <v>10</v>
      </c>
      <c r="W636" s="90"/>
    </row>
    <row r="637" spans="1:23" ht="337.5">
      <c r="A637" s="225" t="s">
        <v>635</v>
      </c>
      <c r="B637" s="229" t="s">
        <v>1101</v>
      </c>
      <c r="C637" s="15"/>
      <c r="D637" s="226" t="s">
        <v>1054</v>
      </c>
      <c r="E637" s="226" t="s">
        <v>146</v>
      </c>
      <c r="F637" s="226" t="s">
        <v>97</v>
      </c>
      <c r="G637" s="226" t="s">
        <v>862</v>
      </c>
      <c r="H637" s="250">
        <v>200</v>
      </c>
      <c r="I637" s="88" t="s">
        <v>329</v>
      </c>
      <c r="J637" s="85"/>
      <c r="K637" s="86"/>
      <c r="L637" s="90">
        <v>5</v>
      </c>
      <c r="M637" s="90">
        <v>7</v>
      </c>
      <c r="N637" s="353">
        <v>4</v>
      </c>
      <c r="O637" s="90">
        <v>14</v>
      </c>
      <c r="P637" s="90">
        <v>14</v>
      </c>
      <c r="Q637" s="90"/>
      <c r="R637" s="90">
        <v>13.9</v>
      </c>
      <c r="S637" s="90">
        <v>13.9</v>
      </c>
      <c r="T637" s="90"/>
      <c r="U637" s="90">
        <v>14</v>
      </c>
      <c r="V637" s="90">
        <v>14</v>
      </c>
      <c r="W637" s="90"/>
    </row>
    <row r="638" spans="1:23">
      <c r="A638" s="416" t="s">
        <v>75</v>
      </c>
      <c r="B638" s="416"/>
      <c r="C638" s="416"/>
      <c r="D638" s="416"/>
      <c r="E638" s="416"/>
      <c r="F638" s="416"/>
      <c r="G638" s="416"/>
      <c r="H638" s="416"/>
      <c r="I638" s="416"/>
      <c r="J638" s="416"/>
      <c r="K638" s="416"/>
      <c r="L638" s="22">
        <f>SUM(L639)</f>
        <v>1043234.1</v>
      </c>
      <c r="M638" s="22">
        <f t="shared" ref="M638:W638" si="280">SUM(M639)</f>
        <v>996921.90000000014</v>
      </c>
      <c r="N638" s="22">
        <f t="shared" si="280"/>
        <v>679801.8</v>
      </c>
      <c r="O638" s="22">
        <f t="shared" si="280"/>
        <v>995644.49999999988</v>
      </c>
      <c r="P638" s="22">
        <f t="shared" si="280"/>
        <v>995644.49999999988</v>
      </c>
      <c r="Q638" s="22">
        <f t="shared" si="280"/>
        <v>0</v>
      </c>
      <c r="R638" s="22">
        <f t="shared" si="280"/>
        <v>989735.39999999991</v>
      </c>
      <c r="S638" s="22">
        <f t="shared" si="280"/>
        <v>989735.39999999991</v>
      </c>
      <c r="T638" s="22">
        <f t="shared" si="280"/>
        <v>0</v>
      </c>
      <c r="U638" s="22">
        <f t="shared" si="280"/>
        <v>996776</v>
      </c>
      <c r="V638" s="22">
        <f t="shared" si="280"/>
        <v>996776</v>
      </c>
      <c r="W638" s="22">
        <f t="shared" si="280"/>
        <v>0</v>
      </c>
    </row>
    <row r="639" spans="1:23">
      <c r="A639" s="416" t="s">
        <v>37</v>
      </c>
      <c r="B639" s="416"/>
      <c r="C639" s="416"/>
      <c r="D639" s="416"/>
      <c r="E639" s="416"/>
      <c r="F639" s="416"/>
      <c r="G639" s="416"/>
      <c r="H639" s="416"/>
      <c r="I639" s="416"/>
      <c r="J639" s="416"/>
      <c r="K639" s="416"/>
      <c r="L639" s="22">
        <f>SUM(L640,L653)</f>
        <v>1043234.1</v>
      </c>
      <c r="M639" s="22">
        <f t="shared" ref="M639:W639" si="281">SUM(M640,M653)</f>
        <v>996921.90000000014</v>
      </c>
      <c r="N639" s="22">
        <f t="shared" si="281"/>
        <v>679801.8</v>
      </c>
      <c r="O639" s="22">
        <f t="shared" si="281"/>
        <v>995644.49999999988</v>
      </c>
      <c r="P639" s="22">
        <f t="shared" si="281"/>
        <v>995644.49999999988</v>
      </c>
      <c r="Q639" s="22">
        <f t="shared" si="281"/>
        <v>0</v>
      </c>
      <c r="R639" s="22">
        <f t="shared" si="281"/>
        <v>989735.39999999991</v>
      </c>
      <c r="S639" s="22">
        <f t="shared" si="281"/>
        <v>989735.39999999991</v>
      </c>
      <c r="T639" s="22">
        <f t="shared" si="281"/>
        <v>0</v>
      </c>
      <c r="U639" s="22">
        <f t="shared" si="281"/>
        <v>996776</v>
      </c>
      <c r="V639" s="22">
        <f t="shared" si="281"/>
        <v>996776</v>
      </c>
      <c r="W639" s="22">
        <f t="shared" si="281"/>
        <v>0</v>
      </c>
    </row>
    <row r="640" spans="1:23" ht="93.75">
      <c r="A640" s="269" t="s">
        <v>38</v>
      </c>
      <c r="B640" s="229" t="s">
        <v>78</v>
      </c>
      <c r="C640" s="115"/>
      <c r="D640" s="383"/>
      <c r="E640" s="250"/>
      <c r="F640" s="250"/>
      <c r="G640" s="250"/>
      <c r="H640" s="250">
        <v>600</v>
      </c>
      <c r="I640" s="85"/>
      <c r="J640" s="118"/>
      <c r="K640" s="128"/>
      <c r="L640" s="90">
        <f t="shared" ref="L640:W640" si="282">SUM(L641:L652)</f>
        <v>656147.69999999995</v>
      </c>
      <c r="M640" s="90">
        <f t="shared" si="282"/>
        <v>690252.80000000016</v>
      </c>
      <c r="N640" s="90">
        <f t="shared" si="282"/>
        <v>463923.3</v>
      </c>
      <c r="O640" s="90">
        <f t="shared" si="282"/>
        <v>786410.49999999988</v>
      </c>
      <c r="P640" s="90">
        <f t="shared" si="282"/>
        <v>786410.49999999988</v>
      </c>
      <c r="Q640" s="90">
        <f t="shared" si="282"/>
        <v>0</v>
      </c>
      <c r="R640" s="90">
        <f t="shared" si="282"/>
        <v>781483.29999999993</v>
      </c>
      <c r="S640" s="90">
        <f t="shared" si="282"/>
        <v>781483.29999999993</v>
      </c>
      <c r="T640" s="90">
        <f t="shared" si="282"/>
        <v>0</v>
      </c>
      <c r="U640" s="90">
        <f t="shared" si="282"/>
        <v>792146.7</v>
      </c>
      <c r="V640" s="90">
        <f t="shared" si="282"/>
        <v>792146.7</v>
      </c>
      <c r="W640" s="90">
        <f t="shared" si="282"/>
        <v>0</v>
      </c>
    </row>
    <row r="641" spans="1:23" ht="56.25">
      <c r="A641" s="269" t="s">
        <v>653</v>
      </c>
      <c r="B641" s="238" t="s">
        <v>636</v>
      </c>
      <c r="C641" s="89" t="s">
        <v>637</v>
      </c>
      <c r="D641" s="226" t="s">
        <v>470</v>
      </c>
      <c r="E641" s="226" t="s">
        <v>146</v>
      </c>
      <c r="F641" s="226" t="s">
        <v>92</v>
      </c>
      <c r="G641" s="226" t="s">
        <v>638</v>
      </c>
      <c r="H641" s="226" t="s">
        <v>148</v>
      </c>
      <c r="I641" s="429" t="s">
        <v>654</v>
      </c>
      <c r="J641" s="118"/>
      <c r="K641" s="128"/>
      <c r="L641" s="264">
        <v>269022.3</v>
      </c>
      <c r="M641" s="264">
        <v>285531.2</v>
      </c>
      <c r="N641" s="264">
        <v>201148.1</v>
      </c>
      <c r="O641" s="264">
        <v>321449.90000000002</v>
      </c>
      <c r="P641" s="264">
        <v>321449.90000000002</v>
      </c>
      <c r="Q641" s="264"/>
      <c r="R641" s="116">
        <v>318466.59999999998</v>
      </c>
      <c r="S641" s="116">
        <v>318466.59999999998</v>
      </c>
      <c r="T641" s="264"/>
      <c r="U641" s="264">
        <v>321682.09999999998</v>
      </c>
      <c r="V641" s="264">
        <v>321682.09999999998</v>
      </c>
      <c r="W641" s="264"/>
    </row>
    <row r="642" spans="1:23" ht="75">
      <c r="A642" s="269" t="s">
        <v>655</v>
      </c>
      <c r="B642" s="229" t="s">
        <v>1102</v>
      </c>
      <c r="C642" s="89"/>
      <c r="D642" s="226" t="s">
        <v>470</v>
      </c>
      <c r="E642" s="226" t="s">
        <v>146</v>
      </c>
      <c r="F642" s="226" t="s">
        <v>92</v>
      </c>
      <c r="G642" s="226" t="s">
        <v>1103</v>
      </c>
      <c r="H642" s="250">
        <v>621</v>
      </c>
      <c r="I642" s="429"/>
      <c r="J642" s="118"/>
      <c r="K642" s="128"/>
      <c r="L642" s="264">
        <v>6441.3</v>
      </c>
      <c r="M642" s="265"/>
      <c r="N642" s="264"/>
      <c r="O642" s="264"/>
      <c r="P642" s="264"/>
      <c r="Q642" s="264"/>
      <c r="R642" s="116"/>
      <c r="S642" s="116"/>
      <c r="T642" s="264"/>
      <c r="U642" s="264"/>
      <c r="V642" s="264"/>
      <c r="W642" s="264"/>
    </row>
    <row r="643" spans="1:23" ht="131.25">
      <c r="A643" s="269" t="s">
        <v>660</v>
      </c>
      <c r="B643" s="229" t="s">
        <v>657</v>
      </c>
      <c r="C643" s="266" t="s">
        <v>219</v>
      </c>
      <c r="D643" s="226" t="s">
        <v>658</v>
      </c>
      <c r="E643" s="226" t="s">
        <v>146</v>
      </c>
      <c r="F643" s="226" t="s">
        <v>143</v>
      </c>
      <c r="G643" s="226" t="s">
        <v>659</v>
      </c>
      <c r="H643" s="226" t="s">
        <v>148</v>
      </c>
      <c r="I643" s="429"/>
      <c r="J643" s="481"/>
      <c r="K643" s="430"/>
      <c r="L643" s="264">
        <v>243120.6</v>
      </c>
      <c r="M643" s="264">
        <v>249475.6</v>
      </c>
      <c r="N643" s="264">
        <v>159874.4</v>
      </c>
      <c r="O643" s="264">
        <f>296978.9-4043.8</f>
        <v>292935.10000000003</v>
      </c>
      <c r="P643" s="264">
        <f>296978.9-4043.8</f>
        <v>292935.10000000003</v>
      </c>
      <c r="Q643" s="264"/>
      <c r="R643" s="264">
        <f>296628.6-4043.8</f>
        <v>292584.8</v>
      </c>
      <c r="S643" s="264">
        <f>296628.6-4043.8</f>
        <v>292584.8</v>
      </c>
      <c r="T643" s="264"/>
      <c r="U643" s="264">
        <f>302358.9-4043.8</f>
        <v>298315.10000000003</v>
      </c>
      <c r="V643" s="264">
        <f>302358.9-4043.8</f>
        <v>298315.10000000003</v>
      </c>
      <c r="W643" s="264"/>
    </row>
    <row r="644" spans="1:23" ht="131.25">
      <c r="A644" s="269" t="s">
        <v>662</v>
      </c>
      <c r="B644" s="229" t="s">
        <v>1102</v>
      </c>
      <c r="C644" s="266" t="s">
        <v>219</v>
      </c>
      <c r="D644" s="226" t="s">
        <v>658</v>
      </c>
      <c r="E644" s="226" t="s">
        <v>146</v>
      </c>
      <c r="F644" s="226" t="s">
        <v>143</v>
      </c>
      <c r="G644" s="226" t="s">
        <v>1104</v>
      </c>
      <c r="H644" s="226" t="s">
        <v>148</v>
      </c>
      <c r="I644" s="429"/>
      <c r="J644" s="481"/>
      <c r="K644" s="430"/>
      <c r="L644" s="264">
        <v>4931.3999999999996</v>
      </c>
      <c r="M644" s="354"/>
      <c r="N644" s="348"/>
      <c r="O644" s="264"/>
      <c r="P644" s="264"/>
      <c r="Q644" s="264"/>
      <c r="R644" s="264"/>
      <c r="S644" s="264"/>
      <c r="T644" s="264"/>
      <c r="U644" s="264"/>
      <c r="V644" s="264"/>
      <c r="W644" s="264"/>
    </row>
    <row r="645" spans="1:23" ht="131.25">
      <c r="A645" s="269" t="s">
        <v>663</v>
      </c>
      <c r="B645" s="238" t="s">
        <v>697</v>
      </c>
      <c r="C645" s="266" t="s">
        <v>219</v>
      </c>
      <c r="D645" s="226" t="s">
        <v>661</v>
      </c>
      <c r="E645" s="226" t="s">
        <v>146</v>
      </c>
      <c r="F645" s="226" t="s">
        <v>95</v>
      </c>
      <c r="G645" s="226" t="s">
        <v>641</v>
      </c>
      <c r="H645" s="226" t="s">
        <v>148</v>
      </c>
      <c r="I645" s="429"/>
      <c r="J645" s="481"/>
      <c r="K645" s="430"/>
      <c r="L645" s="264">
        <v>71769.899999999994</v>
      </c>
      <c r="M645" s="264">
        <v>88338.3</v>
      </c>
      <c r="N645" s="264">
        <v>60101.1</v>
      </c>
      <c r="O645" s="264">
        <v>88378.1</v>
      </c>
      <c r="P645" s="264">
        <v>88378.1</v>
      </c>
      <c r="Q645" s="264"/>
      <c r="R645" s="264">
        <v>87559.4</v>
      </c>
      <c r="S645" s="264">
        <v>87559.4</v>
      </c>
      <c r="T645" s="264"/>
      <c r="U645" s="264">
        <v>88441.8</v>
      </c>
      <c r="V645" s="264">
        <v>88441.8</v>
      </c>
      <c r="W645" s="264"/>
    </row>
    <row r="646" spans="1:23" ht="131.25">
      <c r="A646" s="269" t="s">
        <v>667</v>
      </c>
      <c r="B646" s="238" t="s">
        <v>642</v>
      </c>
      <c r="C646" s="266" t="s">
        <v>219</v>
      </c>
      <c r="D646" s="226" t="s">
        <v>661</v>
      </c>
      <c r="E646" s="226" t="s">
        <v>146</v>
      </c>
      <c r="F646" s="226" t="s">
        <v>95</v>
      </c>
      <c r="G646" s="226" t="s">
        <v>643</v>
      </c>
      <c r="H646" s="226" t="s">
        <v>148</v>
      </c>
      <c r="I646" s="429"/>
      <c r="J646" s="481"/>
      <c r="K646" s="430"/>
      <c r="L646" s="264">
        <v>39634.9</v>
      </c>
      <c r="M646" s="264">
        <v>44440.4</v>
      </c>
      <c r="N646" s="264">
        <v>29370.9</v>
      </c>
      <c r="O646" s="264">
        <v>52419.7</v>
      </c>
      <c r="P646" s="264">
        <v>52419.7</v>
      </c>
      <c r="Q646" s="264"/>
      <c r="R646" s="264">
        <v>51934.1</v>
      </c>
      <c r="S646" s="264">
        <v>51934.1</v>
      </c>
      <c r="T646" s="264"/>
      <c r="U646" s="264">
        <v>52457.5</v>
      </c>
      <c r="V646" s="264">
        <v>52457.5</v>
      </c>
      <c r="W646" s="264"/>
    </row>
    <row r="647" spans="1:23" ht="56.25">
      <c r="A647" s="269" t="s">
        <v>1105</v>
      </c>
      <c r="B647" s="238" t="s">
        <v>664</v>
      </c>
      <c r="C647" s="266"/>
      <c r="D647" s="226" t="s">
        <v>661</v>
      </c>
      <c r="E647" s="226" t="s">
        <v>146</v>
      </c>
      <c r="F647" s="226" t="s">
        <v>95</v>
      </c>
      <c r="G647" s="226" t="s">
        <v>665</v>
      </c>
      <c r="H647" s="226" t="s">
        <v>148</v>
      </c>
      <c r="I647" s="120" t="s">
        <v>666</v>
      </c>
      <c r="J647" s="118"/>
      <c r="K647" s="128"/>
      <c r="L647" s="264">
        <v>5128.1000000000004</v>
      </c>
      <c r="M647" s="264">
        <v>10243.299999999999</v>
      </c>
      <c r="N647" s="264">
        <v>4186</v>
      </c>
      <c r="O647" s="264">
        <v>19245.2</v>
      </c>
      <c r="P647" s="264">
        <v>19245.2</v>
      </c>
      <c r="Q647" s="264"/>
      <c r="R647" s="264">
        <v>19066.900000000001</v>
      </c>
      <c r="S647" s="264">
        <v>19066.900000000001</v>
      </c>
      <c r="T647" s="264"/>
      <c r="U647" s="264">
        <v>19259.099999999999</v>
      </c>
      <c r="V647" s="264">
        <v>19259.099999999999</v>
      </c>
      <c r="W647" s="264"/>
    </row>
    <row r="648" spans="1:23" ht="112.5">
      <c r="A648" s="269" t="s">
        <v>1106</v>
      </c>
      <c r="B648" s="229" t="s">
        <v>1102</v>
      </c>
      <c r="C648" s="266"/>
      <c r="D648" s="226" t="s">
        <v>661</v>
      </c>
      <c r="E648" s="226" t="s">
        <v>146</v>
      </c>
      <c r="F648" s="226" t="s">
        <v>95</v>
      </c>
      <c r="G648" s="226" t="s">
        <v>1107</v>
      </c>
      <c r="H648" s="250">
        <v>621</v>
      </c>
      <c r="I648" s="120" t="s">
        <v>1341</v>
      </c>
      <c r="J648" s="118"/>
      <c r="K648" s="128"/>
      <c r="L648" s="264">
        <v>2121.6</v>
      </c>
      <c r="M648" s="354"/>
      <c r="N648" s="264"/>
      <c r="O648" s="264"/>
      <c r="P648" s="264"/>
      <c r="Q648" s="264"/>
      <c r="R648" s="264"/>
      <c r="S648" s="264"/>
      <c r="T648" s="264"/>
      <c r="U648" s="264"/>
      <c r="V648" s="264"/>
      <c r="W648" s="264"/>
    </row>
    <row r="649" spans="1:23" ht="112.5">
      <c r="A649" s="269" t="s">
        <v>1108</v>
      </c>
      <c r="B649" s="238" t="s">
        <v>668</v>
      </c>
      <c r="C649" s="266"/>
      <c r="D649" s="226" t="s">
        <v>607</v>
      </c>
      <c r="E649" s="226" t="s">
        <v>146</v>
      </c>
      <c r="F649" s="226" t="s">
        <v>146</v>
      </c>
      <c r="G649" s="226" t="s">
        <v>669</v>
      </c>
      <c r="H649" s="226" t="s">
        <v>148</v>
      </c>
      <c r="I649" s="120" t="s">
        <v>1341</v>
      </c>
      <c r="J649" s="118"/>
      <c r="K649" s="128"/>
      <c r="L649" s="264">
        <v>10633.6</v>
      </c>
      <c r="M649" s="264">
        <v>11408.7</v>
      </c>
      <c r="N649" s="264">
        <v>9242.7999999999993</v>
      </c>
      <c r="O649" s="264">
        <v>11982.5</v>
      </c>
      <c r="P649" s="264">
        <v>11982.5</v>
      </c>
      <c r="Q649" s="264"/>
      <c r="R649" s="264">
        <v>11871.5</v>
      </c>
      <c r="S649" s="264">
        <v>11871.5</v>
      </c>
      <c r="T649" s="264"/>
      <c r="U649" s="264">
        <v>11991.1</v>
      </c>
      <c r="V649" s="264">
        <v>11991.1</v>
      </c>
      <c r="W649" s="264"/>
    </row>
    <row r="650" spans="1:23">
      <c r="A650" s="407" t="s">
        <v>1109</v>
      </c>
      <c r="B650" s="619" t="s">
        <v>670</v>
      </c>
      <c r="C650" s="427" t="s">
        <v>671</v>
      </c>
      <c r="D650" s="447" t="s">
        <v>607</v>
      </c>
      <c r="E650" s="447" t="s">
        <v>146</v>
      </c>
      <c r="F650" s="447" t="s">
        <v>146</v>
      </c>
      <c r="G650" s="655" t="s">
        <v>609</v>
      </c>
      <c r="H650" s="447" t="s">
        <v>148</v>
      </c>
      <c r="I650" s="433" t="s">
        <v>1342</v>
      </c>
      <c r="J650" s="481"/>
      <c r="K650" s="430"/>
      <c r="L650" s="426">
        <v>3344</v>
      </c>
      <c r="M650" s="426"/>
      <c r="N650" s="426"/>
      <c r="O650" s="431"/>
      <c r="P650" s="431"/>
      <c r="Q650" s="355"/>
      <c r="R650" s="425"/>
      <c r="S650" s="425"/>
      <c r="T650" s="426"/>
      <c r="U650" s="425"/>
      <c r="V650" s="425"/>
      <c r="W650" s="426"/>
    </row>
    <row r="651" spans="1:23">
      <c r="A651" s="407"/>
      <c r="B651" s="619"/>
      <c r="C651" s="427"/>
      <c r="D651" s="447"/>
      <c r="E651" s="447"/>
      <c r="F651" s="447"/>
      <c r="G651" s="655"/>
      <c r="H651" s="447"/>
      <c r="I651" s="433"/>
      <c r="J651" s="481"/>
      <c r="K651" s="430"/>
      <c r="L651" s="426"/>
      <c r="M651" s="426"/>
      <c r="N651" s="426"/>
      <c r="O651" s="431"/>
      <c r="P651" s="431"/>
      <c r="Q651" s="355"/>
      <c r="R651" s="425"/>
      <c r="S651" s="425"/>
      <c r="T651" s="426"/>
      <c r="U651" s="425"/>
      <c r="V651" s="425"/>
      <c r="W651" s="426"/>
    </row>
    <row r="652" spans="1:23" ht="225">
      <c r="A652" s="269" t="s">
        <v>1343</v>
      </c>
      <c r="B652" s="619"/>
      <c r="C652" s="266" t="s">
        <v>671</v>
      </c>
      <c r="D652" s="226" t="s">
        <v>607</v>
      </c>
      <c r="E652" s="226" t="s">
        <v>146</v>
      </c>
      <c r="F652" s="226" t="s">
        <v>97</v>
      </c>
      <c r="G652" s="656" t="s">
        <v>609</v>
      </c>
      <c r="H652" s="226" t="s">
        <v>148</v>
      </c>
      <c r="I652" s="53" t="s">
        <v>672</v>
      </c>
      <c r="J652" s="36"/>
      <c r="K652" s="128"/>
      <c r="L652" s="264"/>
      <c r="M652" s="264">
        <v>815.3</v>
      </c>
      <c r="N652" s="264">
        <v>0</v>
      </c>
      <c r="O652" s="264">
        <v>0</v>
      </c>
      <c r="P652" s="264">
        <v>0</v>
      </c>
      <c r="Q652" s="264"/>
      <c r="R652" s="264">
        <v>0</v>
      </c>
      <c r="S652" s="264">
        <v>0</v>
      </c>
      <c r="T652" s="264"/>
      <c r="U652" s="264">
        <v>0</v>
      </c>
      <c r="V652" s="264">
        <v>0</v>
      </c>
      <c r="W652" s="264"/>
    </row>
    <row r="653" spans="1:23" ht="37.5">
      <c r="A653" s="235" t="s">
        <v>40</v>
      </c>
      <c r="B653" s="274" t="s">
        <v>39</v>
      </c>
      <c r="C653" s="274"/>
      <c r="D653" s="32"/>
      <c r="E653" s="257"/>
      <c r="F653" s="257"/>
      <c r="G653" s="257"/>
      <c r="H653" s="257">
        <v>600</v>
      </c>
      <c r="I653" s="272"/>
      <c r="J653" s="273"/>
      <c r="K653" s="91"/>
      <c r="L653" s="95">
        <f t="shared" ref="L653:W653" si="283">SUM(L654:L703)</f>
        <v>387086.4</v>
      </c>
      <c r="M653" s="95">
        <f t="shared" si="283"/>
        <v>306669.10000000003</v>
      </c>
      <c r="N653" s="95">
        <f t="shared" si="283"/>
        <v>215878.50000000003</v>
      </c>
      <c r="O653" s="95">
        <f t="shared" si="283"/>
        <v>209234.00000000003</v>
      </c>
      <c r="P653" s="95">
        <f t="shared" si="283"/>
        <v>209234.00000000003</v>
      </c>
      <c r="Q653" s="95">
        <f t="shared" si="283"/>
        <v>0</v>
      </c>
      <c r="R653" s="95">
        <f t="shared" si="283"/>
        <v>208252.09999999995</v>
      </c>
      <c r="S653" s="95">
        <f t="shared" si="283"/>
        <v>208252.09999999995</v>
      </c>
      <c r="T653" s="95">
        <f t="shared" si="283"/>
        <v>0</v>
      </c>
      <c r="U653" s="95">
        <f t="shared" si="283"/>
        <v>204629.3</v>
      </c>
      <c r="V653" s="95">
        <f t="shared" si="283"/>
        <v>204629.3</v>
      </c>
      <c r="W653" s="95">
        <f t="shared" si="283"/>
        <v>0</v>
      </c>
    </row>
    <row r="654" spans="1:23" ht="112.5">
      <c r="A654" s="54" t="s">
        <v>673</v>
      </c>
      <c r="B654" s="230" t="s">
        <v>645</v>
      </c>
      <c r="C654" s="123"/>
      <c r="D654" s="226" t="s">
        <v>493</v>
      </c>
      <c r="E654" s="226" t="s">
        <v>93</v>
      </c>
      <c r="F654" s="226" t="s">
        <v>92</v>
      </c>
      <c r="G654" s="226" t="s">
        <v>494</v>
      </c>
      <c r="H654" s="226" t="s">
        <v>149</v>
      </c>
      <c r="I654" s="120" t="s">
        <v>1344</v>
      </c>
      <c r="J654" s="36"/>
      <c r="K654" s="36"/>
      <c r="L654" s="264">
        <v>1917.3</v>
      </c>
      <c r="M654" s="264">
        <v>3501.6</v>
      </c>
      <c r="N654" s="264">
        <v>3501.6</v>
      </c>
      <c r="O654" s="264">
        <v>3840.7</v>
      </c>
      <c r="P654" s="264">
        <v>3840.7</v>
      </c>
      <c r="Q654" s="264"/>
      <c r="R654" s="264">
        <v>3805.1</v>
      </c>
      <c r="S654" s="264">
        <v>3805.1</v>
      </c>
      <c r="T654" s="264"/>
      <c r="U654" s="264">
        <v>3843.5</v>
      </c>
      <c r="V654" s="264">
        <v>3843.5</v>
      </c>
      <c r="W654" s="264"/>
    </row>
    <row r="655" spans="1:23" ht="206.25">
      <c r="A655" s="54" t="s">
        <v>674</v>
      </c>
      <c r="B655" s="230" t="s">
        <v>636</v>
      </c>
      <c r="C655" s="89" t="s">
        <v>637</v>
      </c>
      <c r="D655" s="226" t="s">
        <v>470</v>
      </c>
      <c r="E655" s="226" t="s">
        <v>146</v>
      </c>
      <c r="F655" s="226" t="s">
        <v>92</v>
      </c>
      <c r="G655" s="226" t="s">
        <v>638</v>
      </c>
      <c r="H655" s="226" t="s">
        <v>149</v>
      </c>
      <c r="I655" s="53" t="s">
        <v>639</v>
      </c>
      <c r="J655" s="36"/>
      <c r="K655" s="128"/>
      <c r="L655" s="264">
        <v>10595.4</v>
      </c>
      <c r="M655" s="264">
        <v>9186.2000000000007</v>
      </c>
      <c r="N655" s="264">
        <v>9138.7999999999993</v>
      </c>
      <c r="O655" s="356"/>
      <c r="P655" s="356"/>
      <c r="Q655" s="264"/>
      <c r="R655" s="356"/>
      <c r="S655" s="356"/>
      <c r="T655" s="264"/>
      <c r="U655" s="356"/>
      <c r="V655" s="356"/>
      <c r="W655" s="264"/>
    </row>
    <row r="656" spans="1:23" ht="131.25">
      <c r="A656" s="54" t="s">
        <v>675</v>
      </c>
      <c r="B656" s="230" t="s">
        <v>1345</v>
      </c>
      <c r="C656" s="89"/>
      <c r="D656" s="226" t="s">
        <v>470</v>
      </c>
      <c r="E656" s="226" t="s">
        <v>146</v>
      </c>
      <c r="F656" s="226" t="s">
        <v>92</v>
      </c>
      <c r="G656" s="226" t="s">
        <v>1346</v>
      </c>
      <c r="H656" s="226" t="s">
        <v>149</v>
      </c>
      <c r="I656" s="53" t="s">
        <v>651</v>
      </c>
      <c r="J656" s="36"/>
      <c r="K656" s="128"/>
      <c r="L656" s="264">
        <f>151.5+15000</f>
        <v>15151.5</v>
      </c>
      <c r="M656" s="264"/>
      <c r="N656" s="264"/>
      <c r="O656" s="356"/>
      <c r="P656" s="356"/>
      <c r="Q656" s="264"/>
      <c r="R656" s="356"/>
      <c r="S656" s="356"/>
      <c r="T656" s="264"/>
      <c r="U656" s="356"/>
      <c r="V656" s="356"/>
      <c r="W656" s="264"/>
    </row>
    <row r="657" spans="1:23" ht="37.5">
      <c r="A657" s="54" t="s">
        <v>1347</v>
      </c>
      <c r="B657" s="230" t="s">
        <v>1348</v>
      </c>
      <c r="C657" s="123"/>
      <c r="D657" s="226" t="s">
        <v>585</v>
      </c>
      <c r="E657" s="226" t="s">
        <v>146</v>
      </c>
      <c r="F657" s="226" t="s">
        <v>92</v>
      </c>
      <c r="G657" s="226" t="s">
        <v>1167</v>
      </c>
      <c r="H657" s="226" t="s">
        <v>149</v>
      </c>
      <c r="I657" s="120"/>
      <c r="J657" s="36"/>
      <c r="K657" s="128"/>
      <c r="L657" s="264"/>
      <c r="M657" s="264"/>
      <c r="N657" s="264"/>
      <c r="O657" s="356">
        <v>586</v>
      </c>
      <c r="P657" s="356">
        <v>586</v>
      </c>
      <c r="Q657" s="264"/>
      <c r="R657" s="356">
        <v>586</v>
      </c>
      <c r="S657" s="356">
        <v>586</v>
      </c>
      <c r="T657" s="264"/>
      <c r="U657" s="356">
        <v>586</v>
      </c>
      <c r="V657" s="356">
        <v>586</v>
      </c>
      <c r="W657" s="264"/>
    </row>
    <row r="658" spans="1:23" ht="131.25">
      <c r="A658" s="54" t="s">
        <v>678</v>
      </c>
      <c r="B658" s="230" t="s">
        <v>1114</v>
      </c>
      <c r="C658" s="123"/>
      <c r="D658" s="226" t="s">
        <v>470</v>
      </c>
      <c r="E658" s="226" t="s">
        <v>146</v>
      </c>
      <c r="F658" s="226" t="s">
        <v>92</v>
      </c>
      <c r="G658" s="226" t="s">
        <v>1110</v>
      </c>
      <c r="H658" s="226" t="s">
        <v>149</v>
      </c>
      <c r="I658" s="120" t="s">
        <v>651</v>
      </c>
      <c r="J658" s="36"/>
      <c r="K658" s="128"/>
      <c r="L658" s="264">
        <f>1096.4+648.1+34365.4+4385.8</f>
        <v>40495.700000000004</v>
      </c>
      <c r="M658" s="264">
        <v>3369.2</v>
      </c>
      <c r="N658" s="264">
        <v>2293.1999999999998</v>
      </c>
      <c r="O658" s="264"/>
      <c r="P658" s="264"/>
      <c r="Q658" s="264"/>
      <c r="R658" s="264"/>
      <c r="S658" s="264"/>
      <c r="T658" s="264"/>
      <c r="U658" s="264"/>
      <c r="V658" s="264"/>
      <c r="W658" s="264"/>
    </row>
    <row r="659" spans="1:23" ht="131.25">
      <c r="A659" s="54" t="s">
        <v>679</v>
      </c>
      <c r="B659" s="230" t="s">
        <v>650</v>
      </c>
      <c r="C659" s="123"/>
      <c r="D659" s="226" t="s">
        <v>470</v>
      </c>
      <c r="E659" s="226" t="s">
        <v>146</v>
      </c>
      <c r="F659" s="226" t="s">
        <v>92</v>
      </c>
      <c r="G659" s="226" t="s">
        <v>328</v>
      </c>
      <c r="H659" s="226" t="s">
        <v>149</v>
      </c>
      <c r="I659" s="120" t="s">
        <v>651</v>
      </c>
      <c r="J659" s="36"/>
      <c r="K659" s="128"/>
      <c r="L659" s="264">
        <f>165.6+3147.2</f>
        <v>3312.7999999999997</v>
      </c>
      <c r="M659" s="264">
        <f>246.8+4689.7</f>
        <v>4936.5</v>
      </c>
      <c r="N659" s="264">
        <f>246.8+3871</f>
        <v>4117.8</v>
      </c>
      <c r="O659" s="264">
        <v>4941.1000000000004</v>
      </c>
      <c r="P659" s="264">
        <v>4941.1000000000004</v>
      </c>
      <c r="Q659" s="264"/>
      <c r="R659" s="264">
        <v>4941.1000000000004</v>
      </c>
      <c r="S659" s="264">
        <v>4941.1000000000004</v>
      </c>
      <c r="T659" s="264"/>
      <c r="U659" s="264">
        <v>4941.1000000000004</v>
      </c>
      <c r="V659" s="264">
        <v>4941.1000000000004</v>
      </c>
      <c r="W659" s="264"/>
    </row>
    <row r="660" spans="1:23" ht="131.25">
      <c r="A660" s="54" t="s">
        <v>1349</v>
      </c>
      <c r="B660" s="238" t="s">
        <v>1350</v>
      </c>
      <c r="C660" s="107"/>
      <c r="D660" s="226" t="s">
        <v>470</v>
      </c>
      <c r="E660" s="226" t="s">
        <v>146</v>
      </c>
      <c r="F660" s="226" t="s">
        <v>92</v>
      </c>
      <c r="G660" s="226" t="s">
        <v>1351</v>
      </c>
      <c r="H660" s="226" t="s">
        <v>149</v>
      </c>
      <c r="I660" s="119" t="s">
        <v>651</v>
      </c>
      <c r="J660" s="119"/>
      <c r="K660" s="119"/>
      <c r="L660" s="264">
        <f>178.9+17706.9</f>
        <v>17885.800000000003</v>
      </c>
      <c r="M660" s="264">
        <f>21879.5+221</f>
        <v>22100.5</v>
      </c>
      <c r="N660" s="264">
        <f>21879.5+221</f>
        <v>22100.5</v>
      </c>
      <c r="O660" s="264"/>
      <c r="P660" s="264"/>
      <c r="Q660" s="264"/>
      <c r="R660" s="264"/>
      <c r="S660" s="264"/>
      <c r="T660" s="264"/>
      <c r="U660" s="264"/>
      <c r="V660" s="264"/>
      <c r="W660" s="264"/>
    </row>
    <row r="661" spans="1:23" ht="112.5">
      <c r="A661" s="54"/>
      <c r="B661" s="238" t="s">
        <v>1352</v>
      </c>
      <c r="C661" s="107"/>
      <c r="D661" s="226" t="s">
        <v>470</v>
      </c>
      <c r="E661" s="226" t="s">
        <v>146</v>
      </c>
      <c r="F661" s="226" t="s">
        <v>92</v>
      </c>
      <c r="G661" s="226" t="s">
        <v>1353</v>
      </c>
      <c r="H661" s="226" t="s">
        <v>149</v>
      </c>
      <c r="I661" s="119" t="s">
        <v>1344</v>
      </c>
      <c r="J661" s="119"/>
      <c r="K661" s="119"/>
      <c r="L661" s="264"/>
      <c r="M661" s="264">
        <v>3905.4</v>
      </c>
      <c r="N661" s="264">
        <v>3905.4</v>
      </c>
      <c r="O661" s="264">
        <v>3429.5</v>
      </c>
      <c r="P661" s="264">
        <v>3429.5</v>
      </c>
      <c r="Q661" s="264"/>
      <c r="R661" s="264">
        <v>3397.7</v>
      </c>
      <c r="S661" s="264">
        <v>3397.7</v>
      </c>
      <c r="T661" s="264"/>
      <c r="U661" s="264">
        <v>3432</v>
      </c>
      <c r="V661" s="264">
        <v>3432</v>
      </c>
      <c r="W661" s="264"/>
    </row>
    <row r="662" spans="1:23" ht="131.25">
      <c r="A662" s="54" t="s">
        <v>680</v>
      </c>
      <c r="B662" s="229" t="s">
        <v>577</v>
      </c>
      <c r="C662" s="123"/>
      <c r="D662" s="226" t="s">
        <v>470</v>
      </c>
      <c r="E662" s="226" t="s">
        <v>146</v>
      </c>
      <c r="F662" s="226" t="s">
        <v>92</v>
      </c>
      <c r="G662" s="226" t="s">
        <v>495</v>
      </c>
      <c r="H662" s="226" t="s">
        <v>149</v>
      </c>
      <c r="I662" s="53" t="s">
        <v>651</v>
      </c>
      <c r="J662" s="36"/>
      <c r="K662" s="36"/>
      <c r="L662" s="264">
        <v>803.2</v>
      </c>
      <c r="M662" s="264">
        <v>613</v>
      </c>
      <c r="N662" s="264">
        <v>613</v>
      </c>
      <c r="O662" s="264">
        <v>854.4</v>
      </c>
      <c r="P662" s="264">
        <v>854.4</v>
      </c>
      <c r="Q662" s="264"/>
      <c r="R662" s="264">
        <v>846.5</v>
      </c>
      <c r="S662" s="264">
        <v>846.5</v>
      </c>
      <c r="T662" s="264"/>
      <c r="U662" s="264">
        <v>855</v>
      </c>
      <c r="V662" s="264">
        <v>855</v>
      </c>
      <c r="W662" s="264"/>
    </row>
    <row r="663" spans="1:23" ht="56.25">
      <c r="A663" s="54" t="s">
        <v>681</v>
      </c>
      <c r="B663" s="229" t="s">
        <v>558</v>
      </c>
      <c r="C663" s="123"/>
      <c r="D663" s="226" t="s">
        <v>454</v>
      </c>
      <c r="E663" s="226" t="s">
        <v>146</v>
      </c>
      <c r="F663" s="226" t="s">
        <v>92</v>
      </c>
      <c r="G663" s="226" t="s">
        <v>192</v>
      </c>
      <c r="H663" s="226" t="s">
        <v>149</v>
      </c>
      <c r="I663" s="120"/>
      <c r="J663" s="36"/>
      <c r="K663" s="128"/>
      <c r="L663" s="353">
        <v>1437.5</v>
      </c>
      <c r="M663" s="264">
        <v>1013.6</v>
      </c>
      <c r="N663" s="264">
        <v>1013.6</v>
      </c>
      <c r="O663" s="264"/>
      <c r="P663" s="264"/>
      <c r="Q663" s="264"/>
      <c r="R663" s="264"/>
      <c r="S663" s="264"/>
      <c r="T663" s="264"/>
      <c r="U663" s="264"/>
      <c r="V663" s="264"/>
      <c r="W663" s="264"/>
    </row>
    <row r="664" spans="1:23" ht="93.75">
      <c r="A664" s="54" t="s">
        <v>682</v>
      </c>
      <c r="B664" s="229" t="s">
        <v>1354</v>
      </c>
      <c r="C664" s="123"/>
      <c r="D664" s="226" t="s">
        <v>454</v>
      </c>
      <c r="E664" s="226" t="s">
        <v>146</v>
      </c>
      <c r="F664" s="226" t="s">
        <v>97</v>
      </c>
      <c r="G664" s="226" t="s">
        <v>1355</v>
      </c>
      <c r="H664" s="226" t="s">
        <v>149</v>
      </c>
      <c r="I664" s="120"/>
      <c r="J664" s="36"/>
      <c r="K664" s="128"/>
      <c r="L664" s="353">
        <f>2686.6+111.9</f>
        <v>2798.5</v>
      </c>
      <c r="M664" s="264"/>
      <c r="N664" s="264"/>
      <c r="O664" s="264"/>
      <c r="P664" s="264"/>
      <c r="Q664" s="264"/>
      <c r="R664" s="264"/>
      <c r="S664" s="264"/>
      <c r="T664" s="264"/>
      <c r="U664" s="264"/>
      <c r="V664" s="264"/>
      <c r="W664" s="264"/>
    </row>
    <row r="665" spans="1:23" ht="112.5">
      <c r="A665" s="54" t="s">
        <v>683</v>
      </c>
      <c r="B665" s="229" t="s">
        <v>657</v>
      </c>
      <c r="C665" s="123"/>
      <c r="D665" s="226" t="s">
        <v>658</v>
      </c>
      <c r="E665" s="226" t="s">
        <v>146</v>
      </c>
      <c r="F665" s="226" t="s">
        <v>143</v>
      </c>
      <c r="G665" s="226" t="s">
        <v>659</v>
      </c>
      <c r="H665" s="226" t="s">
        <v>149</v>
      </c>
      <c r="I665" s="120" t="s">
        <v>1344</v>
      </c>
      <c r="J665" s="36"/>
      <c r="K665" s="128"/>
      <c r="L665" s="264">
        <v>27856.799999999999</v>
      </c>
      <c r="M665" s="264">
        <v>5631</v>
      </c>
      <c r="N665" s="264">
        <v>3516.3</v>
      </c>
      <c r="O665" s="264">
        <v>4043.8</v>
      </c>
      <c r="P665" s="264">
        <v>4043.8</v>
      </c>
      <c r="Q665" s="264"/>
      <c r="R665" s="264">
        <v>4043.8</v>
      </c>
      <c r="S665" s="264">
        <v>4043.8</v>
      </c>
      <c r="T665" s="264"/>
      <c r="U665" s="264">
        <v>4043.8</v>
      </c>
      <c r="V665" s="264">
        <v>4043.8</v>
      </c>
      <c r="W665" s="264"/>
    </row>
    <row r="666" spans="1:23" ht="168.75">
      <c r="A666" s="54" t="s">
        <v>685</v>
      </c>
      <c r="B666" s="229" t="s">
        <v>684</v>
      </c>
      <c r="C666" s="123"/>
      <c r="D666" s="226" t="s">
        <v>658</v>
      </c>
      <c r="E666" s="226" t="s">
        <v>146</v>
      </c>
      <c r="F666" s="226" t="s">
        <v>143</v>
      </c>
      <c r="G666" s="226" t="s">
        <v>346</v>
      </c>
      <c r="H666" s="226" t="s">
        <v>149</v>
      </c>
      <c r="I666" s="267" t="s">
        <v>335</v>
      </c>
      <c r="J666" s="36"/>
      <c r="K666" s="128"/>
      <c r="L666" s="264">
        <f>3711.5+43014.4+13583.5</f>
        <v>60309.4</v>
      </c>
      <c r="M666" s="264">
        <f>4393.6+50919.2+16079.7</f>
        <v>71392.5</v>
      </c>
      <c r="N666" s="264">
        <f>2502.3+29000+9157.9</f>
        <v>40660.199999999997</v>
      </c>
      <c r="O666" s="264">
        <v>75988.899999999994</v>
      </c>
      <c r="P666" s="264">
        <v>75988.899999999994</v>
      </c>
      <c r="Q666" s="264"/>
      <c r="R666" s="264">
        <v>77464.399999999994</v>
      </c>
      <c r="S666" s="264">
        <v>77464.399999999994</v>
      </c>
      <c r="T666" s="264"/>
      <c r="U666" s="264">
        <v>76826.399999999994</v>
      </c>
      <c r="V666" s="264">
        <v>76826.399999999994</v>
      </c>
      <c r="W666" s="264"/>
    </row>
    <row r="667" spans="1:23" ht="168.75">
      <c r="A667" s="54" t="s">
        <v>686</v>
      </c>
      <c r="B667" s="229" t="s">
        <v>1356</v>
      </c>
      <c r="C667" s="123"/>
      <c r="D667" s="226" t="s">
        <v>658</v>
      </c>
      <c r="E667" s="226" t="s">
        <v>146</v>
      </c>
      <c r="F667" s="226" t="s">
        <v>143</v>
      </c>
      <c r="G667" s="226" t="s">
        <v>345</v>
      </c>
      <c r="H667" s="226" t="s">
        <v>149</v>
      </c>
      <c r="I667" s="120" t="s">
        <v>335</v>
      </c>
      <c r="J667" s="36"/>
      <c r="K667" s="128"/>
      <c r="L667" s="264">
        <f>2816+16901.2</f>
        <v>19717.2</v>
      </c>
      <c r="M667" s="264">
        <f>3351+20098.7</f>
        <v>23449.7</v>
      </c>
      <c r="N667" s="264">
        <f>1626.2+9748</f>
        <v>11374.2</v>
      </c>
      <c r="O667" s="264">
        <v>25223.4</v>
      </c>
      <c r="P667" s="264">
        <v>25223.4</v>
      </c>
      <c r="Q667" s="264"/>
      <c r="R667" s="264">
        <v>25643.5</v>
      </c>
      <c r="S667" s="264">
        <v>25643.5</v>
      </c>
      <c r="T667" s="264"/>
      <c r="U667" s="264">
        <v>25476.400000000001</v>
      </c>
      <c r="V667" s="264">
        <v>25476.400000000001</v>
      </c>
      <c r="W667" s="264"/>
    </row>
    <row r="668" spans="1:23" ht="75">
      <c r="A668" s="54" t="s">
        <v>687</v>
      </c>
      <c r="B668" s="229" t="s">
        <v>676</v>
      </c>
      <c r="C668" s="123"/>
      <c r="D668" s="226" t="s">
        <v>658</v>
      </c>
      <c r="E668" s="226" t="s">
        <v>146</v>
      </c>
      <c r="F668" s="226" t="s">
        <v>143</v>
      </c>
      <c r="G668" s="226" t="s">
        <v>677</v>
      </c>
      <c r="H668" s="226" t="s">
        <v>149</v>
      </c>
      <c r="I668" s="120"/>
      <c r="J668" s="36"/>
      <c r="K668" s="128"/>
      <c r="L668" s="264">
        <f>22.3+250.7+1723+2144.6+89.4</f>
        <v>4230</v>
      </c>
      <c r="M668" s="264"/>
      <c r="N668" s="264"/>
      <c r="O668" s="264"/>
      <c r="P668" s="264"/>
      <c r="Q668" s="264"/>
      <c r="R668" s="264"/>
      <c r="S668" s="264"/>
      <c r="T668" s="264"/>
      <c r="U668" s="264"/>
      <c r="V668" s="264"/>
      <c r="W668" s="264"/>
    </row>
    <row r="669" spans="1:23" ht="206.25">
      <c r="A669" s="54" t="s">
        <v>688</v>
      </c>
      <c r="B669" s="229" t="s">
        <v>646</v>
      </c>
      <c r="C669" s="123"/>
      <c r="D669" s="226" t="s">
        <v>658</v>
      </c>
      <c r="E669" s="226" t="s">
        <v>146</v>
      </c>
      <c r="F669" s="226" t="s">
        <v>143</v>
      </c>
      <c r="G669" s="226" t="s">
        <v>647</v>
      </c>
      <c r="H669" s="226" t="s">
        <v>149</v>
      </c>
      <c r="I669" s="120" t="s">
        <v>640</v>
      </c>
      <c r="J669" s="36"/>
      <c r="K669" s="128"/>
      <c r="L669" s="264">
        <v>4717.5</v>
      </c>
      <c r="M669" s="264">
        <v>7320.1</v>
      </c>
      <c r="N669" s="264">
        <v>2650.3</v>
      </c>
      <c r="O669" s="264">
        <v>6428</v>
      </c>
      <c r="P669" s="264">
        <v>6428</v>
      </c>
      <c r="Q669" s="264"/>
      <c r="R669" s="264">
        <v>6368.5</v>
      </c>
      <c r="S669" s="264">
        <v>6368.5</v>
      </c>
      <c r="T669" s="264"/>
      <c r="U669" s="264">
        <v>6432.6</v>
      </c>
      <c r="V669" s="264">
        <v>6432.6</v>
      </c>
      <c r="W669" s="264"/>
    </row>
    <row r="670" spans="1:23" ht="150">
      <c r="A670" s="54"/>
      <c r="B670" s="230" t="s">
        <v>1357</v>
      </c>
      <c r="C670" s="372"/>
      <c r="D670" s="226" t="s">
        <v>689</v>
      </c>
      <c r="E670" s="226" t="s">
        <v>146</v>
      </c>
      <c r="F670" s="226" t="s">
        <v>143</v>
      </c>
      <c r="G670" s="226" t="s">
        <v>1358</v>
      </c>
      <c r="H670" s="226" t="s">
        <v>149</v>
      </c>
      <c r="I670" s="125" t="s">
        <v>731</v>
      </c>
      <c r="J670" s="115"/>
      <c r="K670" s="14"/>
      <c r="L670" s="268"/>
      <c r="M670" s="264">
        <f>1582.6+2373.9</f>
        <v>3956.5</v>
      </c>
      <c r="N670" s="264">
        <f>1582.6+850.5</f>
        <v>2433.1</v>
      </c>
      <c r="O670" s="264"/>
      <c r="P670" s="264"/>
      <c r="Q670" s="264"/>
      <c r="R670" s="264"/>
      <c r="S670" s="264"/>
      <c r="T670" s="264"/>
      <c r="U670" s="264"/>
      <c r="V670" s="264"/>
      <c r="W670" s="264"/>
    </row>
    <row r="671" spans="1:23" ht="112.5">
      <c r="A671" s="54"/>
      <c r="B671" s="238" t="s">
        <v>1352</v>
      </c>
      <c r="C671" s="372"/>
      <c r="D671" s="226"/>
      <c r="E671" s="226" t="s">
        <v>146</v>
      </c>
      <c r="F671" s="226" t="s">
        <v>143</v>
      </c>
      <c r="G671" s="226" t="s">
        <v>1353</v>
      </c>
      <c r="H671" s="226" t="s">
        <v>149</v>
      </c>
      <c r="I671" s="122" t="s">
        <v>1344</v>
      </c>
      <c r="J671" s="115"/>
      <c r="K671" s="14"/>
      <c r="L671" s="268"/>
      <c r="M671" s="264">
        <v>12661.2</v>
      </c>
      <c r="N671" s="264">
        <v>8896.7999999999993</v>
      </c>
      <c r="O671" s="264">
        <v>9338.6</v>
      </c>
      <c r="P671" s="264">
        <v>9338.6</v>
      </c>
      <c r="Q671" s="264"/>
      <c r="R671" s="264">
        <v>9154.7999999999993</v>
      </c>
      <c r="S671" s="264">
        <v>9154.7999999999993</v>
      </c>
      <c r="T671" s="264"/>
      <c r="U671" s="264">
        <v>9353</v>
      </c>
      <c r="V671" s="264">
        <v>9353</v>
      </c>
      <c r="W671" s="264"/>
    </row>
    <row r="672" spans="1:23" ht="131.25">
      <c r="A672" s="54" t="s">
        <v>690</v>
      </c>
      <c r="B672" s="229" t="s">
        <v>1111</v>
      </c>
      <c r="C672" s="123"/>
      <c r="D672" s="226" t="s">
        <v>689</v>
      </c>
      <c r="E672" s="226" t="s">
        <v>146</v>
      </c>
      <c r="F672" s="226" t="s">
        <v>97</v>
      </c>
      <c r="G672" s="226" t="s">
        <v>1359</v>
      </c>
      <c r="H672" s="226" t="s">
        <v>149</v>
      </c>
      <c r="I672" s="120" t="s">
        <v>651</v>
      </c>
      <c r="J672" s="36"/>
      <c r="K672" s="128"/>
      <c r="L672" s="264"/>
      <c r="M672" s="264">
        <f>10037.2+10037.2</f>
        <v>20074.400000000001</v>
      </c>
      <c r="N672" s="264">
        <f>10037.2+10037.2</f>
        <v>20074.400000000001</v>
      </c>
      <c r="O672" s="264">
        <v>20099.2</v>
      </c>
      <c r="P672" s="264">
        <v>20099.2</v>
      </c>
      <c r="Q672" s="264"/>
      <c r="R672" s="264">
        <v>20099.2</v>
      </c>
      <c r="S672" s="264">
        <v>20099.2</v>
      </c>
      <c r="T672" s="264"/>
      <c r="U672" s="264">
        <v>20099.2</v>
      </c>
      <c r="V672" s="264">
        <v>20099.2</v>
      </c>
      <c r="W672" s="264"/>
    </row>
    <row r="673" spans="1:23" ht="131.25">
      <c r="A673" s="54" t="s">
        <v>691</v>
      </c>
      <c r="B673" s="229" t="s">
        <v>1112</v>
      </c>
      <c r="C673" s="123"/>
      <c r="D673" s="226" t="s">
        <v>658</v>
      </c>
      <c r="E673" s="226" t="s">
        <v>146</v>
      </c>
      <c r="F673" s="226" t="s">
        <v>143</v>
      </c>
      <c r="G673" s="226" t="s">
        <v>1113</v>
      </c>
      <c r="H673" s="226" t="s">
        <v>149</v>
      </c>
      <c r="I673" s="120" t="s">
        <v>651</v>
      </c>
      <c r="J673" s="36"/>
      <c r="K673" s="128"/>
      <c r="L673" s="264"/>
      <c r="M673" s="264">
        <f>1759.3+1688.9+70.4</f>
        <v>3518.6</v>
      </c>
      <c r="N673" s="264">
        <f>1759.3+1688.9+70.4</f>
        <v>3518.6</v>
      </c>
      <c r="O673" s="264"/>
      <c r="P673" s="264"/>
      <c r="Q673" s="264"/>
      <c r="R673" s="264"/>
      <c r="S673" s="264"/>
      <c r="T673" s="264"/>
      <c r="U673" s="264"/>
      <c r="V673" s="264"/>
      <c r="W673" s="264"/>
    </row>
    <row r="674" spans="1:23" ht="131.25">
      <c r="A674" s="54" t="s">
        <v>692</v>
      </c>
      <c r="B674" s="229" t="s">
        <v>648</v>
      </c>
      <c r="C674" s="123"/>
      <c r="D674" s="226" t="s">
        <v>658</v>
      </c>
      <c r="E674" s="226" t="s">
        <v>146</v>
      </c>
      <c r="F674" s="226" t="s">
        <v>143</v>
      </c>
      <c r="G674" s="226" t="s">
        <v>649</v>
      </c>
      <c r="H674" s="226" t="s">
        <v>149</v>
      </c>
      <c r="I674" s="120" t="s">
        <v>651</v>
      </c>
      <c r="J674" s="36"/>
      <c r="K674" s="128"/>
      <c r="L674" s="179">
        <v>7452.5</v>
      </c>
      <c r="M674" s="179">
        <v>7624.5</v>
      </c>
      <c r="N674" s="179">
        <v>5719.5</v>
      </c>
      <c r="O674" s="264"/>
      <c r="P674" s="264"/>
      <c r="Q674" s="264"/>
      <c r="R674" s="264"/>
      <c r="S674" s="264"/>
      <c r="T674" s="264"/>
      <c r="U674" s="264"/>
      <c r="V674" s="264"/>
      <c r="W674" s="264"/>
    </row>
    <row r="675" spans="1:23" ht="150">
      <c r="A675" s="54"/>
      <c r="B675" s="229" t="s">
        <v>1360</v>
      </c>
      <c r="C675" s="115"/>
      <c r="D675" s="226" t="s">
        <v>585</v>
      </c>
      <c r="E675" s="226" t="s">
        <v>146</v>
      </c>
      <c r="F675" s="226" t="s">
        <v>97</v>
      </c>
      <c r="G675" s="657" t="s">
        <v>1116</v>
      </c>
      <c r="H675" s="250">
        <v>622</v>
      </c>
      <c r="I675" s="122" t="s">
        <v>731</v>
      </c>
      <c r="J675" s="115"/>
      <c r="K675" s="14"/>
      <c r="L675" s="179">
        <f>2860.8+119.2</f>
        <v>2980</v>
      </c>
      <c r="M675" s="179"/>
      <c r="N675" s="179"/>
      <c r="O675" s="264"/>
      <c r="P675" s="264"/>
      <c r="Q675" s="264"/>
      <c r="R675" s="264"/>
      <c r="S675" s="264"/>
      <c r="T675" s="264"/>
      <c r="U675" s="264"/>
      <c r="V675" s="264"/>
      <c r="W675" s="264"/>
    </row>
    <row r="676" spans="1:23" ht="131.25">
      <c r="A676" s="54" t="s">
        <v>693</v>
      </c>
      <c r="B676" s="230" t="s">
        <v>1114</v>
      </c>
      <c r="C676" s="123"/>
      <c r="D676" s="226" t="s">
        <v>658</v>
      </c>
      <c r="E676" s="226" t="s">
        <v>146</v>
      </c>
      <c r="F676" s="226" t="s">
        <v>143</v>
      </c>
      <c r="G676" s="226" t="s">
        <v>1110</v>
      </c>
      <c r="H676" s="226" t="s">
        <v>149</v>
      </c>
      <c r="I676" s="53" t="s">
        <v>651</v>
      </c>
      <c r="J676" s="36"/>
      <c r="K676" s="128"/>
      <c r="L676" s="264">
        <f>2739.5+2584.7+61552.7+10958.2</f>
        <v>77835.099999999991</v>
      </c>
      <c r="M676" s="264">
        <v>4610.7</v>
      </c>
      <c r="N676" s="264">
        <v>0</v>
      </c>
      <c r="O676" s="264"/>
      <c r="P676" s="264"/>
      <c r="Q676" s="264"/>
      <c r="R676" s="264"/>
      <c r="S676" s="264"/>
      <c r="T676" s="264"/>
      <c r="U676" s="264"/>
      <c r="V676" s="264"/>
      <c r="W676" s="264"/>
    </row>
    <row r="677" spans="1:23" ht="131.25">
      <c r="A677" s="54" t="s">
        <v>1361</v>
      </c>
      <c r="B677" s="229" t="s">
        <v>650</v>
      </c>
      <c r="C677" s="123"/>
      <c r="D677" s="226" t="s">
        <v>658</v>
      </c>
      <c r="E677" s="226" t="s">
        <v>146</v>
      </c>
      <c r="F677" s="226" t="s">
        <v>143</v>
      </c>
      <c r="G677" s="226" t="s">
        <v>328</v>
      </c>
      <c r="H677" s="226" t="s">
        <v>149</v>
      </c>
      <c r="I677" s="53" t="s">
        <v>651</v>
      </c>
      <c r="J677" s="36"/>
      <c r="K677" s="128"/>
      <c r="L677" s="264">
        <f>1874.3+35611.2</f>
        <v>37485.5</v>
      </c>
      <c r="M677" s="264">
        <f>515.5+9795.3</f>
        <v>10310.799999999999</v>
      </c>
      <c r="N677" s="264">
        <f>515.5+7961.1</f>
        <v>8476.6</v>
      </c>
      <c r="O677" s="264">
        <v>8145.4</v>
      </c>
      <c r="P677" s="264">
        <v>8145.4</v>
      </c>
      <c r="Q677" s="264"/>
      <c r="R677" s="264">
        <v>8145.4</v>
      </c>
      <c r="S677" s="264">
        <v>8145.4</v>
      </c>
      <c r="T677" s="264"/>
      <c r="U677" s="264">
        <v>8145.4</v>
      </c>
      <c r="V677" s="264">
        <v>8145.4</v>
      </c>
      <c r="W677" s="264"/>
    </row>
    <row r="678" spans="1:23" ht="131.25">
      <c r="A678" s="54" t="s">
        <v>694</v>
      </c>
      <c r="B678" s="238" t="s">
        <v>650</v>
      </c>
      <c r="C678" s="107"/>
      <c r="D678" s="226" t="s">
        <v>658</v>
      </c>
      <c r="E678" s="226" t="s">
        <v>146</v>
      </c>
      <c r="F678" s="226" t="s">
        <v>143</v>
      </c>
      <c r="G678" s="226" t="s">
        <v>1351</v>
      </c>
      <c r="H678" s="226" t="s">
        <v>149</v>
      </c>
      <c r="I678" s="53" t="s">
        <v>651</v>
      </c>
      <c r="J678" s="119"/>
      <c r="K678" s="119"/>
      <c r="L678" s="264">
        <f>296.3+29329.8</f>
        <v>29626.1</v>
      </c>
      <c r="M678" s="264">
        <f>188+18608.1</f>
        <v>18796.099999999999</v>
      </c>
      <c r="N678" s="264">
        <f>188+7489.3</f>
        <v>7677.3</v>
      </c>
      <c r="O678" s="264"/>
      <c r="P678" s="264"/>
      <c r="Q678" s="264"/>
      <c r="R678" s="264"/>
      <c r="S678" s="264"/>
      <c r="T678" s="264"/>
      <c r="U678" s="264"/>
      <c r="V678" s="264"/>
      <c r="W678" s="264"/>
    </row>
    <row r="679" spans="1:23" ht="168.75">
      <c r="A679" s="54" t="s">
        <v>695</v>
      </c>
      <c r="B679" s="229" t="s">
        <v>1362</v>
      </c>
      <c r="C679" s="123"/>
      <c r="D679" s="226" t="s">
        <v>658</v>
      </c>
      <c r="E679" s="226" t="s">
        <v>146</v>
      </c>
      <c r="F679" s="226" t="s">
        <v>143</v>
      </c>
      <c r="G679" s="226" t="s">
        <v>1214</v>
      </c>
      <c r="H679" s="226" t="s">
        <v>149</v>
      </c>
      <c r="I679" s="53" t="s">
        <v>651</v>
      </c>
      <c r="J679" s="36"/>
      <c r="K679" s="36"/>
      <c r="L679" s="264"/>
      <c r="M679" s="264"/>
      <c r="N679" s="264"/>
      <c r="O679" s="264">
        <v>20933.5</v>
      </c>
      <c r="P679" s="264">
        <v>20933.5</v>
      </c>
      <c r="Q679" s="264"/>
      <c r="R679" s="264">
        <v>20933.5</v>
      </c>
      <c r="S679" s="264">
        <v>20933.5</v>
      </c>
      <c r="T679" s="264"/>
      <c r="U679" s="264">
        <v>20933.5</v>
      </c>
      <c r="V679" s="264">
        <v>20933.5</v>
      </c>
      <c r="W679" s="264"/>
    </row>
    <row r="680" spans="1:23" ht="56.25">
      <c r="A680" s="54" t="s">
        <v>696</v>
      </c>
      <c r="B680" s="229" t="s">
        <v>558</v>
      </c>
      <c r="C680" s="123"/>
      <c r="D680" s="226" t="s">
        <v>454</v>
      </c>
      <c r="E680" s="226" t="s">
        <v>146</v>
      </c>
      <c r="F680" s="226" t="s">
        <v>143</v>
      </c>
      <c r="G680" s="226" t="s">
        <v>192</v>
      </c>
      <c r="H680" s="226" t="s">
        <v>149</v>
      </c>
      <c r="I680" s="120"/>
      <c r="J680" s="36"/>
      <c r="K680" s="128"/>
      <c r="L680" s="264">
        <v>603.29999999999995</v>
      </c>
      <c r="M680" s="264">
        <v>799.9</v>
      </c>
      <c r="N680" s="264">
        <v>799.9</v>
      </c>
      <c r="O680" s="264"/>
      <c r="P680" s="264"/>
      <c r="Q680" s="264"/>
      <c r="R680" s="264"/>
      <c r="S680" s="264"/>
      <c r="T680" s="264"/>
      <c r="U680" s="264"/>
      <c r="V680" s="264"/>
      <c r="W680" s="264"/>
    </row>
    <row r="681" spans="1:23" ht="75">
      <c r="A681" s="54" t="s">
        <v>1363</v>
      </c>
      <c r="B681" s="230" t="s">
        <v>1364</v>
      </c>
      <c r="C681" s="115"/>
      <c r="D681" s="226" t="s">
        <v>658</v>
      </c>
      <c r="E681" s="226" t="s">
        <v>146</v>
      </c>
      <c r="F681" s="226" t="s">
        <v>143</v>
      </c>
      <c r="G681" s="226" t="s">
        <v>1365</v>
      </c>
      <c r="H681" s="250">
        <v>622</v>
      </c>
      <c r="I681" s="122" t="s">
        <v>1366</v>
      </c>
      <c r="J681" s="41">
        <v>43095</v>
      </c>
      <c r="K681" s="14"/>
      <c r="L681" s="179"/>
      <c r="M681" s="264"/>
      <c r="N681" s="264"/>
      <c r="O681" s="264">
        <v>5161.1000000000004</v>
      </c>
      <c r="P681" s="264">
        <v>5161.1000000000004</v>
      </c>
      <c r="Q681" s="264"/>
      <c r="R681" s="264">
        <v>2699</v>
      </c>
      <c r="S681" s="264">
        <v>2699</v>
      </c>
      <c r="T681" s="264"/>
      <c r="U681" s="264">
        <v>0</v>
      </c>
      <c r="V681" s="264">
        <v>0</v>
      </c>
      <c r="W681" s="264"/>
    </row>
    <row r="682" spans="1:23" ht="37.5">
      <c r="A682" s="54"/>
      <c r="B682" s="230" t="s">
        <v>1348</v>
      </c>
      <c r="C682" s="115"/>
      <c r="D682" s="226" t="s">
        <v>658</v>
      </c>
      <c r="E682" s="226" t="s">
        <v>146</v>
      </c>
      <c r="F682" s="226" t="s">
        <v>143</v>
      </c>
      <c r="G682" s="226" t="s">
        <v>1167</v>
      </c>
      <c r="H682" s="250">
        <v>622</v>
      </c>
      <c r="I682" s="122"/>
      <c r="J682" s="115"/>
      <c r="K682" s="14"/>
      <c r="L682" s="179"/>
      <c r="M682" s="264"/>
      <c r="N682" s="264"/>
      <c r="O682" s="264">
        <v>1040</v>
      </c>
      <c r="P682" s="264">
        <v>1040</v>
      </c>
      <c r="Q682" s="264"/>
      <c r="R682" s="264">
        <v>1040</v>
      </c>
      <c r="S682" s="264">
        <v>1040</v>
      </c>
      <c r="T682" s="264"/>
      <c r="U682" s="264">
        <v>1040</v>
      </c>
      <c r="V682" s="264">
        <v>1040</v>
      </c>
      <c r="W682" s="264"/>
    </row>
    <row r="683" spans="1:23" ht="56.25">
      <c r="A683" s="54"/>
      <c r="B683" s="229" t="s">
        <v>558</v>
      </c>
      <c r="C683" s="123"/>
      <c r="D683" s="226" t="s">
        <v>454</v>
      </c>
      <c r="E683" s="226" t="s">
        <v>146</v>
      </c>
      <c r="F683" s="226" t="s">
        <v>97</v>
      </c>
      <c r="G683" s="226" t="s">
        <v>192</v>
      </c>
      <c r="H683" s="226" t="s">
        <v>149</v>
      </c>
      <c r="I683" s="122"/>
      <c r="J683" s="115"/>
      <c r="K683" s="14"/>
      <c r="L683" s="179"/>
      <c r="M683" s="264">
        <v>100</v>
      </c>
      <c r="N683" s="264">
        <v>100</v>
      </c>
      <c r="O683" s="264"/>
      <c r="P683" s="264"/>
      <c r="Q683" s="264"/>
      <c r="R683" s="264"/>
      <c r="S683" s="264"/>
      <c r="T683" s="264"/>
      <c r="U683" s="264"/>
      <c r="V683" s="264"/>
      <c r="W683" s="264"/>
    </row>
    <row r="684" spans="1:23" ht="56.25">
      <c r="A684" s="54" t="s">
        <v>698</v>
      </c>
      <c r="B684" s="229" t="s">
        <v>558</v>
      </c>
      <c r="C684" s="123"/>
      <c r="D684" s="226" t="s">
        <v>454</v>
      </c>
      <c r="E684" s="226" t="s">
        <v>146</v>
      </c>
      <c r="F684" s="226" t="s">
        <v>95</v>
      </c>
      <c r="G684" s="226" t="s">
        <v>192</v>
      </c>
      <c r="H684" s="226" t="s">
        <v>149</v>
      </c>
      <c r="I684" s="120"/>
      <c r="J684" s="36"/>
      <c r="K684" s="128"/>
      <c r="L684" s="264">
        <v>531.20000000000005</v>
      </c>
      <c r="M684" s="264">
        <v>130</v>
      </c>
      <c r="N684" s="264">
        <v>130</v>
      </c>
      <c r="O684" s="264"/>
      <c r="P684" s="264"/>
      <c r="Q684" s="264"/>
      <c r="R684" s="264"/>
      <c r="S684" s="264"/>
      <c r="T684" s="264"/>
      <c r="U684" s="264"/>
      <c r="V684" s="264"/>
      <c r="W684" s="264"/>
    </row>
    <row r="685" spans="1:23" ht="56.25">
      <c r="A685" s="54" t="s">
        <v>700</v>
      </c>
      <c r="B685" s="229" t="s">
        <v>697</v>
      </c>
      <c r="C685" s="123"/>
      <c r="D685" s="226" t="s">
        <v>661</v>
      </c>
      <c r="E685" s="226" t="s">
        <v>146</v>
      </c>
      <c r="F685" s="226" t="s">
        <v>95</v>
      </c>
      <c r="G685" s="226" t="s">
        <v>641</v>
      </c>
      <c r="H685" s="226" t="s">
        <v>149</v>
      </c>
      <c r="I685" s="120"/>
      <c r="J685" s="36"/>
      <c r="K685" s="128"/>
      <c r="L685" s="264">
        <v>10295.299999999999</v>
      </c>
      <c r="M685" s="264">
        <v>640</v>
      </c>
      <c r="N685" s="264">
        <v>640</v>
      </c>
      <c r="O685" s="264"/>
      <c r="P685" s="264"/>
      <c r="Q685" s="264"/>
      <c r="R685" s="264"/>
      <c r="S685" s="264"/>
      <c r="T685" s="264"/>
      <c r="U685" s="264"/>
      <c r="V685" s="264"/>
      <c r="W685" s="264"/>
    </row>
    <row r="686" spans="1:23" ht="150">
      <c r="A686" s="54"/>
      <c r="B686" s="230" t="s">
        <v>1354</v>
      </c>
      <c r="C686" s="115"/>
      <c r="D686" s="226" t="s">
        <v>585</v>
      </c>
      <c r="E686" s="226" t="s">
        <v>146</v>
      </c>
      <c r="F686" s="226" t="s">
        <v>97</v>
      </c>
      <c r="G686" s="226" t="s">
        <v>1367</v>
      </c>
      <c r="H686" s="250">
        <v>622</v>
      </c>
      <c r="I686" s="122" t="s">
        <v>731</v>
      </c>
      <c r="J686" s="115"/>
      <c r="K686" s="14"/>
      <c r="L686" s="179"/>
      <c r="M686" s="264">
        <f>8503.2+354.3</f>
        <v>8857.5</v>
      </c>
      <c r="N686" s="264">
        <f>5953.8+248.1</f>
        <v>6201.9000000000005</v>
      </c>
      <c r="O686" s="264">
        <v>8731.6</v>
      </c>
      <c r="P686" s="264">
        <v>8731.6</v>
      </c>
      <c r="Q686" s="264"/>
      <c r="R686" s="264">
        <v>8731.6</v>
      </c>
      <c r="S686" s="264">
        <v>8731.6</v>
      </c>
      <c r="T686" s="264"/>
      <c r="U686" s="264">
        <v>8165</v>
      </c>
      <c r="V686" s="264">
        <v>8165</v>
      </c>
      <c r="W686" s="264"/>
    </row>
    <row r="687" spans="1:23" ht="75">
      <c r="A687" s="54"/>
      <c r="B687" s="230" t="s">
        <v>1368</v>
      </c>
      <c r="C687" s="115"/>
      <c r="D687" s="226" t="s">
        <v>661</v>
      </c>
      <c r="E687" s="226" t="s">
        <v>146</v>
      </c>
      <c r="F687" s="226" t="s">
        <v>95</v>
      </c>
      <c r="G687" s="226" t="s">
        <v>1369</v>
      </c>
      <c r="H687" s="250">
        <v>622</v>
      </c>
      <c r="I687" s="122"/>
      <c r="J687" s="115"/>
      <c r="K687" s="14"/>
      <c r="L687" s="348"/>
      <c r="M687" s="179">
        <f>37273+9318.3</f>
        <v>46591.3</v>
      </c>
      <c r="N687" s="264">
        <f>28814.3+7203.6</f>
        <v>36017.9</v>
      </c>
      <c r="O687" s="264"/>
      <c r="P687" s="264"/>
      <c r="Q687" s="264"/>
      <c r="R687" s="264"/>
      <c r="S687" s="264"/>
      <c r="T687" s="264"/>
      <c r="U687" s="264"/>
      <c r="V687" s="264"/>
      <c r="W687" s="264"/>
    </row>
    <row r="688" spans="1:23" ht="56.25">
      <c r="A688" s="54" t="s">
        <v>702</v>
      </c>
      <c r="B688" s="229" t="s">
        <v>1115</v>
      </c>
      <c r="C688" s="123"/>
      <c r="D688" s="226" t="s">
        <v>607</v>
      </c>
      <c r="E688" s="226" t="s">
        <v>146</v>
      </c>
      <c r="F688" s="226" t="s">
        <v>146</v>
      </c>
      <c r="G688" s="226" t="s">
        <v>669</v>
      </c>
      <c r="H688" s="226" t="s">
        <v>149</v>
      </c>
      <c r="I688" s="120"/>
      <c r="J688" s="36"/>
      <c r="K688" s="128"/>
      <c r="L688" s="264">
        <v>2637.9</v>
      </c>
      <c r="M688" s="264">
        <v>2236.8000000000002</v>
      </c>
      <c r="N688" s="264">
        <v>2236.8000000000002</v>
      </c>
      <c r="O688" s="264"/>
      <c r="P688" s="264"/>
      <c r="Q688" s="264"/>
      <c r="R688" s="264"/>
      <c r="S688" s="264"/>
      <c r="T688" s="264"/>
      <c r="U688" s="264"/>
      <c r="V688" s="264"/>
      <c r="W688" s="264"/>
    </row>
    <row r="689" spans="1:23" ht="150">
      <c r="A689" s="54"/>
      <c r="B689" s="229" t="s">
        <v>1370</v>
      </c>
      <c r="C689" s="123"/>
      <c r="D689" s="226" t="s">
        <v>607</v>
      </c>
      <c r="E689" s="226" t="s">
        <v>146</v>
      </c>
      <c r="F689" s="226" t="s">
        <v>97</v>
      </c>
      <c r="G689" s="226" t="s">
        <v>609</v>
      </c>
      <c r="H689" s="226" t="s">
        <v>149</v>
      </c>
      <c r="I689" s="120"/>
      <c r="J689" s="36"/>
      <c r="K689" s="128"/>
      <c r="L689" s="264"/>
      <c r="M689" s="264">
        <v>4140.6000000000004</v>
      </c>
      <c r="N689" s="264">
        <v>4098.6000000000004</v>
      </c>
      <c r="O689" s="264">
        <v>5003.8999999999996</v>
      </c>
      <c r="P689" s="264">
        <v>5003.8999999999996</v>
      </c>
      <c r="Q689" s="264"/>
      <c r="R689" s="264">
        <v>4957.5</v>
      </c>
      <c r="S689" s="264">
        <v>4957.5</v>
      </c>
      <c r="T689" s="264"/>
      <c r="U689" s="264">
        <v>5007.5</v>
      </c>
      <c r="V689" s="264">
        <v>5007.5</v>
      </c>
      <c r="W689" s="264"/>
    </row>
    <row r="690" spans="1:23" ht="56.25">
      <c r="A690" s="54" t="s">
        <v>703</v>
      </c>
      <c r="B690" s="229" t="s">
        <v>699</v>
      </c>
      <c r="C690" s="123"/>
      <c r="D690" s="226" t="s">
        <v>607</v>
      </c>
      <c r="E690" s="226" t="s">
        <v>146</v>
      </c>
      <c r="F690" s="226" t="s">
        <v>97</v>
      </c>
      <c r="G690" s="226" t="s">
        <v>608</v>
      </c>
      <c r="H690" s="226" t="s">
        <v>149</v>
      </c>
      <c r="I690" s="120"/>
      <c r="J690" s="36"/>
      <c r="K690" s="128"/>
      <c r="L690" s="264">
        <v>112</v>
      </c>
      <c r="M690" s="264">
        <v>112</v>
      </c>
      <c r="N690" s="264">
        <v>0</v>
      </c>
      <c r="O690" s="264">
        <v>129.5</v>
      </c>
      <c r="P690" s="264">
        <v>129.5</v>
      </c>
      <c r="Q690" s="264"/>
      <c r="R690" s="264">
        <v>128.30000000000001</v>
      </c>
      <c r="S690" s="264">
        <v>128.30000000000001</v>
      </c>
      <c r="T690" s="264"/>
      <c r="U690" s="264">
        <v>129.6</v>
      </c>
      <c r="V690" s="264">
        <v>129.6</v>
      </c>
      <c r="W690" s="264"/>
    </row>
    <row r="691" spans="1:23" ht="56.25">
      <c r="A691" s="54" t="s">
        <v>705</v>
      </c>
      <c r="B691" s="229" t="s">
        <v>701</v>
      </c>
      <c r="C691" s="123"/>
      <c r="D691" s="226" t="s">
        <v>607</v>
      </c>
      <c r="E691" s="226" t="s">
        <v>146</v>
      </c>
      <c r="F691" s="226" t="s">
        <v>146</v>
      </c>
      <c r="G691" s="226" t="s">
        <v>616</v>
      </c>
      <c r="H691" s="226" t="s">
        <v>149</v>
      </c>
      <c r="I691" s="120"/>
      <c r="J691" s="36"/>
      <c r="K691" s="128"/>
      <c r="L691" s="264">
        <v>437</v>
      </c>
      <c r="M691" s="264">
        <v>605.20000000000005</v>
      </c>
      <c r="N691" s="264">
        <v>481.6</v>
      </c>
      <c r="O691" s="264">
        <v>783.1</v>
      </c>
      <c r="P691" s="264">
        <v>783.1</v>
      </c>
      <c r="Q691" s="264"/>
      <c r="R691" s="264">
        <v>775.8</v>
      </c>
      <c r="S691" s="264">
        <v>775.8</v>
      </c>
      <c r="T691" s="264"/>
      <c r="U691" s="264">
        <v>783.7</v>
      </c>
      <c r="V691" s="264">
        <v>783.7</v>
      </c>
      <c r="W691" s="264"/>
    </row>
    <row r="692" spans="1:23" ht="56.25">
      <c r="A692" s="54" t="s">
        <v>706</v>
      </c>
      <c r="B692" s="230" t="s">
        <v>645</v>
      </c>
      <c r="C692" s="123"/>
      <c r="D692" s="226" t="s">
        <v>607</v>
      </c>
      <c r="E692" s="226" t="s">
        <v>146</v>
      </c>
      <c r="F692" s="226" t="s">
        <v>146</v>
      </c>
      <c r="G692" s="226" t="s">
        <v>494</v>
      </c>
      <c r="H692" s="226" t="s">
        <v>149</v>
      </c>
      <c r="I692" s="120"/>
      <c r="J692" s="36"/>
      <c r="K692" s="128"/>
      <c r="L692" s="264">
        <v>207.7</v>
      </c>
      <c r="M692" s="264">
        <v>206.7</v>
      </c>
      <c r="N692" s="264">
        <v>206.7</v>
      </c>
      <c r="O692" s="264">
        <v>235.9</v>
      </c>
      <c r="P692" s="264">
        <v>235.9</v>
      </c>
      <c r="Q692" s="264"/>
      <c r="R692" s="264">
        <v>233.7</v>
      </c>
      <c r="S692" s="264">
        <v>233.7</v>
      </c>
      <c r="T692" s="264"/>
      <c r="U692" s="264">
        <v>236.1</v>
      </c>
      <c r="V692" s="264">
        <v>236.1</v>
      </c>
      <c r="W692" s="264"/>
    </row>
    <row r="693" spans="1:23" ht="37.5">
      <c r="A693" s="54" t="s">
        <v>1371</v>
      </c>
      <c r="B693" s="229" t="s">
        <v>1372</v>
      </c>
      <c r="C693" s="123"/>
      <c r="D693" s="226" t="s">
        <v>360</v>
      </c>
      <c r="E693" s="226" t="s">
        <v>146</v>
      </c>
      <c r="F693" s="226" t="s">
        <v>92</v>
      </c>
      <c r="G693" s="226" t="s">
        <v>124</v>
      </c>
      <c r="H693" s="226" t="s">
        <v>149</v>
      </c>
      <c r="I693" s="120"/>
      <c r="J693" s="36"/>
      <c r="K693" s="36"/>
      <c r="L693" s="264">
        <v>693.4</v>
      </c>
      <c r="M693" s="264">
        <v>373.8</v>
      </c>
      <c r="N693" s="264">
        <v>373.8</v>
      </c>
      <c r="O693" s="264"/>
      <c r="P693" s="264"/>
      <c r="Q693" s="264"/>
      <c r="R693" s="264"/>
      <c r="S693" s="264"/>
      <c r="T693" s="264"/>
      <c r="U693" s="264"/>
      <c r="V693" s="264"/>
      <c r="W693" s="264"/>
    </row>
    <row r="694" spans="1:23" ht="37.5">
      <c r="A694" s="54" t="s">
        <v>1373</v>
      </c>
      <c r="B694" s="229" t="s">
        <v>1372</v>
      </c>
      <c r="C694" s="123"/>
      <c r="D694" s="226" t="s">
        <v>1021</v>
      </c>
      <c r="E694" s="226" t="s">
        <v>146</v>
      </c>
      <c r="F694" s="226" t="s">
        <v>143</v>
      </c>
      <c r="G694" s="226" t="s">
        <v>124</v>
      </c>
      <c r="H694" s="226" t="s">
        <v>149</v>
      </c>
      <c r="I694" s="120"/>
      <c r="J694" s="36"/>
      <c r="K694" s="36"/>
      <c r="L694" s="264">
        <v>1294.5</v>
      </c>
      <c r="M694" s="264">
        <v>0</v>
      </c>
      <c r="N694" s="264">
        <v>0</v>
      </c>
      <c r="O694" s="264"/>
      <c r="P694" s="264"/>
      <c r="Q694" s="264"/>
      <c r="R694" s="264"/>
      <c r="S694" s="264"/>
      <c r="T694" s="264"/>
      <c r="U694" s="264"/>
      <c r="V694" s="264"/>
      <c r="W694" s="264"/>
    </row>
    <row r="695" spans="1:23" ht="93.75">
      <c r="A695" s="54" t="s">
        <v>711</v>
      </c>
      <c r="B695" s="229" t="s">
        <v>704</v>
      </c>
      <c r="C695" s="123"/>
      <c r="D695" s="226" t="s">
        <v>614</v>
      </c>
      <c r="E695" s="226" t="s">
        <v>146</v>
      </c>
      <c r="F695" s="226" t="s">
        <v>146</v>
      </c>
      <c r="G695" s="226" t="s">
        <v>554</v>
      </c>
      <c r="H695" s="226" t="s">
        <v>149</v>
      </c>
      <c r="I695" s="120"/>
      <c r="J695" s="36"/>
      <c r="K695" s="128"/>
      <c r="L695" s="264">
        <v>95.3</v>
      </c>
      <c r="M695" s="264">
        <v>90.5</v>
      </c>
      <c r="N695" s="264">
        <v>0</v>
      </c>
      <c r="O695" s="264">
        <v>78.7</v>
      </c>
      <c r="P695" s="264">
        <v>78.7</v>
      </c>
      <c r="Q695" s="264"/>
      <c r="R695" s="264">
        <v>78</v>
      </c>
      <c r="S695" s="264">
        <v>78</v>
      </c>
      <c r="T695" s="264"/>
      <c r="U695" s="264">
        <v>78.8</v>
      </c>
      <c r="V695" s="264">
        <v>78.8</v>
      </c>
      <c r="W695" s="264"/>
    </row>
    <row r="696" spans="1:23">
      <c r="A696" s="54" t="s">
        <v>713</v>
      </c>
      <c r="B696" s="238" t="s">
        <v>629</v>
      </c>
      <c r="C696" s="107"/>
      <c r="D696" s="226" t="s">
        <v>585</v>
      </c>
      <c r="E696" s="226" t="s">
        <v>146</v>
      </c>
      <c r="F696" s="226" t="s">
        <v>97</v>
      </c>
      <c r="G696" s="226" t="s">
        <v>630</v>
      </c>
      <c r="H696" s="226" t="s">
        <v>149</v>
      </c>
      <c r="I696" s="119"/>
      <c r="J696" s="119"/>
      <c r="K696" s="119"/>
      <c r="L696" s="264">
        <v>1502.6</v>
      </c>
      <c r="M696" s="264">
        <v>1403.2</v>
      </c>
      <c r="N696" s="264">
        <v>1015.8</v>
      </c>
      <c r="O696" s="264">
        <v>1365.4</v>
      </c>
      <c r="P696" s="264">
        <v>1365.4</v>
      </c>
      <c r="Q696" s="264"/>
      <c r="R696" s="264">
        <v>1352.8</v>
      </c>
      <c r="S696" s="264">
        <v>1352.8</v>
      </c>
      <c r="T696" s="264"/>
      <c r="U696" s="264">
        <v>1366.4</v>
      </c>
      <c r="V696" s="264">
        <v>1366.4</v>
      </c>
      <c r="W696" s="264"/>
    </row>
    <row r="697" spans="1:23">
      <c r="A697" s="54" t="s">
        <v>714</v>
      </c>
      <c r="B697" s="238" t="s">
        <v>629</v>
      </c>
      <c r="C697" s="107"/>
      <c r="D697" s="226" t="s">
        <v>585</v>
      </c>
      <c r="E697" s="226" t="s">
        <v>146</v>
      </c>
      <c r="F697" s="226" t="s">
        <v>97</v>
      </c>
      <c r="G697" s="226" t="s">
        <v>633</v>
      </c>
      <c r="H697" s="226" t="s">
        <v>149</v>
      </c>
      <c r="I697" s="119"/>
      <c r="J697" s="119"/>
      <c r="K697" s="119"/>
      <c r="L697" s="264">
        <v>1697.5</v>
      </c>
      <c r="M697" s="264">
        <v>2057.1999999999998</v>
      </c>
      <c r="N697" s="264">
        <v>1634.7</v>
      </c>
      <c r="O697" s="264">
        <v>2407.6999999999998</v>
      </c>
      <c r="P697" s="264">
        <v>2407.6999999999998</v>
      </c>
      <c r="Q697" s="264"/>
      <c r="R697" s="264">
        <v>2385.3000000000002</v>
      </c>
      <c r="S697" s="264">
        <v>2385.3000000000002</v>
      </c>
      <c r="T697" s="264"/>
      <c r="U697" s="264">
        <v>2409.4</v>
      </c>
      <c r="V697" s="264">
        <v>2409.4</v>
      </c>
      <c r="W697" s="264"/>
    </row>
    <row r="698" spans="1:23" ht="37.5">
      <c r="A698" s="54" t="s">
        <v>715</v>
      </c>
      <c r="B698" s="229" t="s">
        <v>707</v>
      </c>
      <c r="C698" s="123"/>
      <c r="D698" s="226" t="s">
        <v>614</v>
      </c>
      <c r="E698" s="226" t="s">
        <v>146</v>
      </c>
      <c r="F698" s="226" t="s">
        <v>97</v>
      </c>
      <c r="G698" s="226" t="s">
        <v>162</v>
      </c>
      <c r="H698" s="226" t="s">
        <v>149</v>
      </c>
      <c r="I698" s="120"/>
      <c r="J698" s="36"/>
      <c r="K698" s="36"/>
      <c r="L698" s="264">
        <v>102.8</v>
      </c>
      <c r="M698" s="264">
        <v>97.7</v>
      </c>
      <c r="N698" s="264">
        <v>42.6</v>
      </c>
      <c r="O698" s="264">
        <v>173.6</v>
      </c>
      <c r="P698" s="264">
        <v>173.6</v>
      </c>
      <c r="Q698" s="264"/>
      <c r="R698" s="264">
        <v>172</v>
      </c>
      <c r="S698" s="264">
        <v>172</v>
      </c>
      <c r="T698" s="264"/>
      <c r="U698" s="264">
        <v>173.7</v>
      </c>
      <c r="V698" s="264">
        <v>173.7</v>
      </c>
      <c r="W698" s="264"/>
    </row>
    <row r="699" spans="1:23" ht="37.5">
      <c r="A699" s="54" t="s">
        <v>716</v>
      </c>
      <c r="B699" s="229" t="s">
        <v>708</v>
      </c>
      <c r="C699" s="123"/>
      <c r="D699" s="226" t="s">
        <v>709</v>
      </c>
      <c r="E699" s="226" t="s">
        <v>146</v>
      </c>
      <c r="F699" s="226" t="s">
        <v>97</v>
      </c>
      <c r="G699" s="226" t="s">
        <v>710</v>
      </c>
      <c r="H699" s="226" t="s">
        <v>149</v>
      </c>
      <c r="I699" s="120"/>
      <c r="J699" s="36"/>
      <c r="K699" s="128"/>
      <c r="L699" s="264">
        <v>10</v>
      </c>
      <c r="M699" s="264">
        <v>9.5</v>
      </c>
      <c r="N699" s="264">
        <v>9.5</v>
      </c>
      <c r="O699" s="264">
        <v>10</v>
      </c>
      <c r="P699" s="264">
        <v>10</v>
      </c>
      <c r="Q699" s="264"/>
      <c r="R699" s="264">
        <v>9.9</v>
      </c>
      <c r="S699" s="264">
        <v>9.9</v>
      </c>
      <c r="T699" s="264"/>
      <c r="U699" s="264">
        <v>10</v>
      </c>
      <c r="V699" s="264">
        <v>10</v>
      </c>
      <c r="W699" s="264"/>
    </row>
    <row r="700" spans="1:23" ht="262.5">
      <c r="A700" s="54" t="s">
        <v>717</v>
      </c>
      <c r="B700" s="229" t="s">
        <v>559</v>
      </c>
      <c r="C700" s="123"/>
      <c r="D700" s="226" t="s">
        <v>450</v>
      </c>
      <c r="E700" s="226" t="s">
        <v>451</v>
      </c>
      <c r="F700" s="226" t="s">
        <v>93</v>
      </c>
      <c r="G700" s="226" t="s">
        <v>452</v>
      </c>
      <c r="H700" s="226" t="s">
        <v>149</v>
      </c>
      <c r="I700" s="53" t="s">
        <v>712</v>
      </c>
      <c r="J700" s="53" t="s">
        <v>652</v>
      </c>
      <c r="K700" s="128"/>
      <c r="L700" s="264">
        <v>123.9</v>
      </c>
      <c r="M700" s="264">
        <v>117.7</v>
      </c>
      <c r="N700" s="264">
        <v>117.7</v>
      </c>
      <c r="O700" s="264">
        <v>133.19999999999999</v>
      </c>
      <c r="P700" s="264">
        <v>133.19999999999999</v>
      </c>
      <c r="Q700" s="264"/>
      <c r="R700" s="264">
        <v>132</v>
      </c>
      <c r="S700" s="264">
        <v>132</v>
      </c>
      <c r="T700" s="264"/>
      <c r="U700" s="264">
        <v>133.30000000000001</v>
      </c>
      <c r="V700" s="264">
        <v>133.30000000000001</v>
      </c>
      <c r="W700" s="264"/>
    </row>
    <row r="701" spans="1:23">
      <c r="A701" s="54" t="s">
        <v>1117</v>
      </c>
      <c r="B701" s="238" t="s">
        <v>560</v>
      </c>
      <c r="C701" s="107"/>
      <c r="D701" s="226" t="s">
        <v>561</v>
      </c>
      <c r="E701" s="226" t="s">
        <v>80</v>
      </c>
      <c r="F701" s="226" t="s">
        <v>144</v>
      </c>
      <c r="G701" s="226" t="s">
        <v>562</v>
      </c>
      <c r="H701" s="226" t="s">
        <v>149</v>
      </c>
      <c r="I701" s="119"/>
      <c r="J701" s="119"/>
      <c r="K701" s="119"/>
      <c r="L701" s="264">
        <v>115.4</v>
      </c>
      <c r="M701" s="264">
        <v>109.6</v>
      </c>
      <c r="N701" s="264">
        <v>84.6</v>
      </c>
      <c r="O701" s="264">
        <v>109.8</v>
      </c>
      <c r="P701" s="264">
        <v>109.8</v>
      </c>
      <c r="Q701" s="264"/>
      <c r="R701" s="264">
        <v>108.8</v>
      </c>
      <c r="S701" s="264">
        <v>108.8</v>
      </c>
      <c r="T701" s="264"/>
      <c r="U701" s="264">
        <v>109.9</v>
      </c>
      <c r="V701" s="264">
        <v>109.9</v>
      </c>
      <c r="W701" s="264"/>
    </row>
    <row r="702" spans="1:23" ht="56.25">
      <c r="A702" s="54" t="s">
        <v>1118</v>
      </c>
      <c r="B702" s="229" t="s">
        <v>577</v>
      </c>
      <c r="C702" s="123"/>
      <c r="D702" s="226" t="s">
        <v>561</v>
      </c>
      <c r="E702" s="226" t="s">
        <v>80</v>
      </c>
      <c r="F702" s="226" t="s">
        <v>144</v>
      </c>
      <c r="G702" s="226" t="s">
        <v>495</v>
      </c>
      <c r="H702" s="226" t="s">
        <v>149</v>
      </c>
      <c r="I702" s="120"/>
      <c r="J702" s="36"/>
      <c r="K702" s="36"/>
      <c r="L702" s="264">
        <v>13.3</v>
      </c>
      <c r="M702" s="264">
        <v>12.6</v>
      </c>
      <c r="N702" s="264">
        <v>0</v>
      </c>
      <c r="O702" s="264">
        <v>13.2</v>
      </c>
      <c r="P702" s="264">
        <v>13.2</v>
      </c>
      <c r="Q702" s="264"/>
      <c r="R702" s="264">
        <v>13.1</v>
      </c>
      <c r="S702" s="264">
        <v>13.1</v>
      </c>
      <c r="T702" s="264"/>
      <c r="U702" s="264">
        <v>13.2</v>
      </c>
      <c r="V702" s="264">
        <v>13.2</v>
      </c>
      <c r="W702" s="264"/>
    </row>
    <row r="703" spans="1:23" ht="93.75">
      <c r="A703" s="54" t="s">
        <v>1119</v>
      </c>
      <c r="B703" s="229" t="s">
        <v>634</v>
      </c>
      <c r="C703" s="15"/>
      <c r="D703" s="226" t="s">
        <v>561</v>
      </c>
      <c r="E703" s="226" t="s">
        <v>80</v>
      </c>
      <c r="F703" s="226" t="s">
        <v>144</v>
      </c>
      <c r="G703" s="226" t="s">
        <v>579</v>
      </c>
      <c r="H703" s="250">
        <v>622</v>
      </c>
      <c r="I703" s="53"/>
      <c r="J703" s="85"/>
      <c r="K703" s="86"/>
      <c r="L703" s="264">
        <v>5.5</v>
      </c>
      <c r="M703" s="264">
        <v>5.2</v>
      </c>
      <c r="N703" s="264">
        <v>5.2</v>
      </c>
      <c r="O703" s="264">
        <v>4.8</v>
      </c>
      <c r="P703" s="264">
        <v>4.8</v>
      </c>
      <c r="Q703" s="264"/>
      <c r="R703" s="264">
        <v>4.8</v>
      </c>
      <c r="S703" s="264">
        <v>4.8</v>
      </c>
      <c r="T703" s="264"/>
      <c r="U703" s="264">
        <v>4.8</v>
      </c>
      <c r="V703" s="264">
        <v>4.8</v>
      </c>
      <c r="W703" s="264"/>
    </row>
    <row r="704" spans="1:23">
      <c r="A704" s="630" t="s">
        <v>15</v>
      </c>
      <c r="B704" s="659" t="s">
        <v>16</v>
      </c>
      <c r="C704" s="660"/>
      <c r="D704" s="661"/>
      <c r="E704" s="662"/>
      <c r="F704" s="662"/>
      <c r="G704" s="662"/>
      <c r="H704" s="662">
        <v>300</v>
      </c>
      <c r="I704" s="663"/>
      <c r="J704" s="660"/>
      <c r="K704" s="664"/>
      <c r="L704" s="666">
        <f>SUM(L705,L708,L710,)</f>
        <v>945.90000000000009</v>
      </c>
      <c r="M704" s="666">
        <f t="shared" ref="M704:W704" si="284">SUM(M705,M708,M710,)</f>
        <v>4820.3999999999996</v>
      </c>
      <c r="N704" s="666">
        <f t="shared" si="284"/>
        <v>2574.6000000000004</v>
      </c>
      <c r="O704" s="666">
        <f t="shared" si="284"/>
        <v>7878.6</v>
      </c>
      <c r="P704" s="666">
        <f t="shared" si="284"/>
        <v>7878.6</v>
      </c>
      <c r="Q704" s="666">
        <f t="shared" si="284"/>
        <v>0</v>
      </c>
      <c r="R704" s="666">
        <f t="shared" si="284"/>
        <v>7805.7</v>
      </c>
      <c r="S704" s="666">
        <f t="shared" si="284"/>
        <v>7805.7</v>
      </c>
      <c r="T704" s="666">
        <f t="shared" si="284"/>
        <v>0</v>
      </c>
      <c r="U704" s="666">
        <f t="shared" si="284"/>
        <v>7884.2999999999993</v>
      </c>
      <c r="V704" s="666">
        <f t="shared" si="284"/>
        <v>7884.2999999999993</v>
      </c>
      <c r="W704" s="666">
        <f t="shared" si="284"/>
        <v>0</v>
      </c>
    </row>
    <row r="705" spans="1:23" ht="56.25">
      <c r="A705" s="235" t="s">
        <v>18</v>
      </c>
      <c r="B705" s="205" t="s">
        <v>47</v>
      </c>
      <c r="C705" s="31"/>
      <c r="D705" s="32"/>
      <c r="E705" s="257"/>
      <c r="F705" s="257"/>
      <c r="G705" s="257"/>
      <c r="H705" s="257">
        <v>320</v>
      </c>
      <c r="I705" s="272"/>
      <c r="J705" s="273"/>
      <c r="K705" s="91"/>
      <c r="L705" s="95">
        <f t="shared" ref="L705:W705" si="285">SUM(L706:L707)</f>
        <v>530.90000000000009</v>
      </c>
      <c r="M705" s="95">
        <f t="shared" si="285"/>
        <v>4192</v>
      </c>
      <c r="N705" s="95">
        <f t="shared" si="285"/>
        <v>2066.8000000000002</v>
      </c>
      <c r="O705" s="95">
        <f t="shared" si="285"/>
        <v>7052.8</v>
      </c>
      <c r="P705" s="95">
        <f t="shared" si="285"/>
        <v>7052.8</v>
      </c>
      <c r="Q705" s="95">
        <f t="shared" si="285"/>
        <v>0</v>
      </c>
      <c r="R705" s="95">
        <f t="shared" si="285"/>
        <v>6987.5</v>
      </c>
      <c r="S705" s="95">
        <f t="shared" si="285"/>
        <v>6987.5</v>
      </c>
      <c r="T705" s="95">
        <f t="shared" si="285"/>
        <v>0</v>
      </c>
      <c r="U705" s="95">
        <f t="shared" si="285"/>
        <v>7057.9</v>
      </c>
      <c r="V705" s="95">
        <f t="shared" si="285"/>
        <v>7057.9</v>
      </c>
      <c r="W705" s="95">
        <f t="shared" si="285"/>
        <v>0</v>
      </c>
    </row>
    <row r="706" spans="1:23" ht="75">
      <c r="A706" s="407" t="s">
        <v>12</v>
      </c>
      <c r="B706" s="427" t="s">
        <v>628</v>
      </c>
      <c r="C706" s="428" t="s">
        <v>327</v>
      </c>
      <c r="D706" s="447" t="s">
        <v>607</v>
      </c>
      <c r="E706" s="447" t="s">
        <v>146</v>
      </c>
      <c r="F706" s="447" t="s">
        <v>97</v>
      </c>
      <c r="G706" s="226" t="s">
        <v>622</v>
      </c>
      <c r="H706" s="456">
        <v>321</v>
      </c>
      <c r="I706" s="53" t="s">
        <v>718</v>
      </c>
      <c r="J706" s="118"/>
      <c r="K706" s="430"/>
      <c r="L706" s="264">
        <v>208.3</v>
      </c>
      <c r="M706" s="264"/>
      <c r="N706" s="264"/>
      <c r="O706" s="264"/>
      <c r="P706" s="264"/>
      <c r="Q706" s="264"/>
      <c r="R706" s="264"/>
      <c r="S706" s="264"/>
      <c r="T706" s="264"/>
      <c r="U706" s="264"/>
      <c r="V706" s="264"/>
      <c r="W706" s="264"/>
    </row>
    <row r="707" spans="1:23" ht="131.25">
      <c r="A707" s="407"/>
      <c r="B707" s="427"/>
      <c r="C707" s="428"/>
      <c r="D707" s="447"/>
      <c r="E707" s="447"/>
      <c r="F707" s="447"/>
      <c r="G707" s="226" t="s">
        <v>609</v>
      </c>
      <c r="H707" s="456"/>
      <c r="I707" s="53" t="s">
        <v>672</v>
      </c>
      <c r="J707" s="36" t="s">
        <v>644</v>
      </c>
      <c r="K707" s="430"/>
      <c r="L707" s="264">
        <v>322.60000000000002</v>
      </c>
      <c r="M707" s="264">
        <v>4192</v>
      </c>
      <c r="N707" s="264">
        <v>2066.8000000000002</v>
      </c>
      <c r="O707" s="264">
        <v>7052.8</v>
      </c>
      <c r="P707" s="264">
        <v>7052.8</v>
      </c>
      <c r="Q707" s="264"/>
      <c r="R707" s="264">
        <v>6987.5</v>
      </c>
      <c r="S707" s="264">
        <v>6987.5</v>
      </c>
      <c r="T707" s="264"/>
      <c r="U707" s="264">
        <v>7057.9</v>
      </c>
      <c r="V707" s="264">
        <v>7057.9</v>
      </c>
      <c r="W707" s="264"/>
    </row>
    <row r="708" spans="1:23">
      <c r="A708" s="235" t="s">
        <v>22</v>
      </c>
      <c r="B708" s="205" t="s">
        <v>978</v>
      </c>
      <c r="C708" s="31"/>
      <c r="D708" s="32"/>
      <c r="E708" s="257"/>
      <c r="F708" s="257"/>
      <c r="G708" s="257"/>
      <c r="H708" s="257">
        <v>340</v>
      </c>
      <c r="I708" s="272"/>
      <c r="J708" s="273"/>
      <c r="K708" s="91"/>
      <c r="L708" s="95">
        <f t="shared" ref="L708:W708" si="286">SUM(L709:L709)</f>
        <v>353</v>
      </c>
      <c r="M708" s="95">
        <f t="shared" si="286"/>
        <v>576.4</v>
      </c>
      <c r="N708" s="95">
        <f t="shared" si="286"/>
        <v>458.8</v>
      </c>
      <c r="O708" s="95">
        <f t="shared" si="286"/>
        <v>763.8</v>
      </c>
      <c r="P708" s="95">
        <f t="shared" si="286"/>
        <v>763.8</v>
      </c>
      <c r="Q708" s="95">
        <f t="shared" si="286"/>
        <v>0</v>
      </c>
      <c r="R708" s="95">
        <f t="shared" si="286"/>
        <v>756.2</v>
      </c>
      <c r="S708" s="95">
        <f t="shared" si="286"/>
        <v>756.2</v>
      </c>
      <c r="T708" s="95">
        <f t="shared" si="286"/>
        <v>0</v>
      </c>
      <c r="U708" s="95">
        <f t="shared" si="286"/>
        <v>764.4</v>
      </c>
      <c r="V708" s="95">
        <f t="shared" si="286"/>
        <v>764.4</v>
      </c>
      <c r="W708" s="95">
        <f t="shared" si="286"/>
        <v>0</v>
      </c>
    </row>
    <row r="709" spans="1:23">
      <c r="A709" s="269" t="s">
        <v>979</v>
      </c>
      <c r="B709" s="238" t="s">
        <v>629</v>
      </c>
      <c r="C709" s="115"/>
      <c r="D709" s="226" t="s">
        <v>585</v>
      </c>
      <c r="E709" s="226" t="s">
        <v>146</v>
      </c>
      <c r="F709" s="226" t="s">
        <v>97</v>
      </c>
      <c r="G709" s="226" t="s">
        <v>630</v>
      </c>
      <c r="H709" s="250">
        <v>340</v>
      </c>
      <c r="I709" s="85"/>
      <c r="J709" s="118"/>
      <c r="K709" s="128"/>
      <c r="L709" s="90">
        <v>353</v>
      </c>
      <c r="M709" s="90">
        <v>576.4</v>
      </c>
      <c r="N709" s="90">
        <v>458.8</v>
      </c>
      <c r="O709" s="90">
        <v>763.8</v>
      </c>
      <c r="P709" s="90">
        <v>763.8</v>
      </c>
      <c r="Q709" s="90"/>
      <c r="R709" s="90">
        <v>756.2</v>
      </c>
      <c r="S709" s="90">
        <v>756.2</v>
      </c>
      <c r="T709" s="90"/>
      <c r="U709" s="90">
        <v>764.4</v>
      </c>
      <c r="V709" s="90">
        <v>764.4</v>
      </c>
      <c r="W709" s="90"/>
    </row>
    <row r="710" spans="1:23">
      <c r="A710" s="235" t="s">
        <v>214</v>
      </c>
      <c r="B710" s="205" t="s">
        <v>230</v>
      </c>
      <c r="C710" s="31"/>
      <c r="D710" s="32"/>
      <c r="E710" s="257"/>
      <c r="F710" s="257"/>
      <c r="G710" s="257"/>
      <c r="H710" s="257">
        <v>350</v>
      </c>
      <c r="I710" s="272"/>
      <c r="J710" s="273"/>
      <c r="K710" s="91"/>
      <c r="L710" s="95">
        <f t="shared" ref="L710:W710" si="287">SUM(L711:L711)</f>
        <v>62</v>
      </c>
      <c r="M710" s="95">
        <f t="shared" si="287"/>
        <v>52</v>
      </c>
      <c r="N710" s="95">
        <f t="shared" si="287"/>
        <v>49</v>
      </c>
      <c r="O710" s="95">
        <f t="shared" si="287"/>
        <v>62</v>
      </c>
      <c r="P710" s="95">
        <f t="shared" si="287"/>
        <v>62</v>
      </c>
      <c r="Q710" s="95">
        <f t="shared" si="287"/>
        <v>0</v>
      </c>
      <c r="R710" s="95">
        <f t="shared" si="287"/>
        <v>62</v>
      </c>
      <c r="S710" s="95">
        <f t="shared" si="287"/>
        <v>62</v>
      </c>
      <c r="T710" s="95">
        <f t="shared" si="287"/>
        <v>0</v>
      </c>
      <c r="U710" s="95">
        <f t="shared" si="287"/>
        <v>62</v>
      </c>
      <c r="V710" s="95">
        <f t="shared" si="287"/>
        <v>62</v>
      </c>
      <c r="W710" s="95">
        <f t="shared" si="287"/>
        <v>0</v>
      </c>
    </row>
    <row r="711" spans="1:23">
      <c r="A711" s="225" t="s">
        <v>155</v>
      </c>
      <c r="B711" s="238" t="s">
        <v>629</v>
      </c>
      <c r="C711" s="173"/>
      <c r="D711" s="226" t="s">
        <v>585</v>
      </c>
      <c r="E711" s="226" t="s">
        <v>146</v>
      </c>
      <c r="F711" s="226" t="s">
        <v>97</v>
      </c>
      <c r="G711" s="226" t="s">
        <v>630</v>
      </c>
      <c r="H711" s="226">
        <v>350</v>
      </c>
      <c r="I711" s="84"/>
      <c r="J711" s="84"/>
      <c r="K711" s="119"/>
      <c r="L711" s="264">
        <v>62</v>
      </c>
      <c r="M711" s="264">
        <v>52</v>
      </c>
      <c r="N711" s="264">
        <v>49</v>
      </c>
      <c r="O711" s="264">
        <v>62</v>
      </c>
      <c r="P711" s="264">
        <v>62</v>
      </c>
      <c r="Q711" s="264"/>
      <c r="R711" s="264">
        <v>62</v>
      </c>
      <c r="S711" s="264">
        <v>62</v>
      </c>
      <c r="T711" s="264"/>
      <c r="U711" s="264">
        <v>62</v>
      </c>
      <c r="V711" s="264">
        <v>62</v>
      </c>
      <c r="W711" s="264"/>
    </row>
    <row r="712" spans="1:23" ht="112.5">
      <c r="A712" s="630" t="s">
        <v>19</v>
      </c>
      <c r="B712" s="667" t="s">
        <v>211</v>
      </c>
      <c r="C712" s="206"/>
      <c r="D712" s="668"/>
      <c r="E712" s="668"/>
      <c r="F712" s="668"/>
      <c r="G712" s="668"/>
      <c r="H712" s="668"/>
      <c r="I712" s="206"/>
      <c r="J712" s="206"/>
      <c r="K712" s="206"/>
      <c r="L712" s="669">
        <f>SUM(L713:L714)</f>
        <v>1196.2</v>
      </c>
      <c r="M712" s="669">
        <f>SUM(M713:M714)</f>
        <v>4048.6000000000004</v>
      </c>
      <c r="N712" s="669">
        <f>SUM(N713:N714)</f>
        <v>0</v>
      </c>
      <c r="O712" s="669">
        <f>SUM(O713:O714)</f>
        <v>4791.5999999999995</v>
      </c>
      <c r="P712" s="669">
        <f>SUM(P713:P714)</f>
        <v>4791.5999999999995</v>
      </c>
      <c r="Q712" s="669">
        <f t="shared" ref="Q712:W712" si="288">SUM(Q713:Q714)</f>
        <v>0</v>
      </c>
      <c r="R712" s="669">
        <f t="shared" si="288"/>
        <v>4747.3</v>
      </c>
      <c r="S712" s="669">
        <f t="shared" si="288"/>
        <v>4747.3</v>
      </c>
      <c r="T712" s="669">
        <f t="shared" si="288"/>
        <v>0</v>
      </c>
      <c r="U712" s="669">
        <f t="shared" si="288"/>
        <v>4795</v>
      </c>
      <c r="V712" s="669">
        <f t="shared" si="288"/>
        <v>4795</v>
      </c>
      <c r="W712" s="669">
        <f t="shared" si="288"/>
        <v>0</v>
      </c>
    </row>
    <row r="713" spans="1:23" ht="409.5">
      <c r="A713" s="225" t="s">
        <v>25</v>
      </c>
      <c r="B713" s="229"/>
      <c r="C713" s="123" t="s">
        <v>719</v>
      </c>
      <c r="D713" s="73" t="s">
        <v>607</v>
      </c>
      <c r="E713" s="80" t="s">
        <v>146</v>
      </c>
      <c r="F713" s="80" t="s">
        <v>146</v>
      </c>
      <c r="G713" s="80" t="s">
        <v>609</v>
      </c>
      <c r="H713" s="40">
        <v>811</v>
      </c>
      <c r="I713" s="120" t="s">
        <v>720</v>
      </c>
      <c r="J713" s="270" t="s">
        <v>1120</v>
      </c>
      <c r="K713" s="271"/>
      <c r="L713" s="264">
        <v>1196.2</v>
      </c>
      <c r="M713" s="264">
        <v>3539.3</v>
      </c>
      <c r="N713" s="264">
        <v>0</v>
      </c>
      <c r="O713" s="264">
        <v>4344.3999999999996</v>
      </c>
      <c r="P713" s="264">
        <v>4344.3999999999996</v>
      </c>
      <c r="Q713" s="264"/>
      <c r="R713" s="264">
        <v>4304.2</v>
      </c>
      <c r="S713" s="264">
        <v>4304.2</v>
      </c>
      <c r="T713" s="264"/>
      <c r="U713" s="264">
        <v>4347.5</v>
      </c>
      <c r="V713" s="264">
        <v>4347.5</v>
      </c>
      <c r="W713" s="264"/>
    </row>
    <row r="714" spans="1:23" ht="37.5">
      <c r="A714" s="225" t="s">
        <v>18</v>
      </c>
      <c r="B714" s="38" t="s">
        <v>1374</v>
      </c>
      <c r="C714" s="39"/>
      <c r="D714" s="73" t="s">
        <v>661</v>
      </c>
      <c r="E714" s="653">
        <v>7</v>
      </c>
      <c r="F714" s="653">
        <v>3</v>
      </c>
      <c r="G714" s="653" t="s">
        <v>721</v>
      </c>
      <c r="H714" s="40">
        <v>813</v>
      </c>
      <c r="I714" s="116"/>
      <c r="J714" s="271"/>
      <c r="K714" s="271"/>
      <c r="L714" s="90"/>
      <c r="M714" s="90">
        <v>509.3</v>
      </c>
      <c r="N714" s="90">
        <v>0</v>
      </c>
      <c r="O714" s="90">
        <v>447.2</v>
      </c>
      <c r="P714" s="90">
        <v>447.2</v>
      </c>
      <c r="Q714" s="90"/>
      <c r="R714" s="90">
        <v>443.1</v>
      </c>
      <c r="S714" s="90">
        <v>443.1</v>
      </c>
      <c r="T714" s="90"/>
      <c r="U714" s="90">
        <v>447.5</v>
      </c>
      <c r="V714" s="90">
        <v>447.5</v>
      </c>
      <c r="W714" s="90"/>
    </row>
    <row r="715" spans="1:23" ht="56.25">
      <c r="A715" s="629" t="s">
        <v>167</v>
      </c>
      <c r="B715" s="302" t="s">
        <v>342</v>
      </c>
      <c r="C715" s="8"/>
      <c r="D715" s="644"/>
      <c r="E715" s="644"/>
      <c r="F715" s="644"/>
      <c r="G715" s="644"/>
      <c r="H715" s="644"/>
      <c r="I715" s="8"/>
      <c r="J715" s="8"/>
      <c r="K715" s="8" t="s">
        <v>62</v>
      </c>
      <c r="L715" s="19">
        <f>SUM(L716,L727,)</f>
        <v>4857.6000000000004</v>
      </c>
      <c r="M715" s="19">
        <f t="shared" ref="M715:W715" si="289">SUM(M716,M727,)</f>
        <v>3100.7000000000003</v>
      </c>
      <c r="N715" s="19">
        <f t="shared" si="289"/>
        <v>2773.1000000000004</v>
      </c>
      <c r="O715" s="19">
        <f t="shared" si="289"/>
        <v>3106.5</v>
      </c>
      <c r="P715" s="19">
        <f t="shared" si="289"/>
        <v>3106.5</v>
      </c>
      <c r="Q715" s="19">
        <f t="shared" si="289"/>
        <v>0</v>
      </c>
      <c r="R715" s="19">
        <f t="shared" si="289"/>
        <v>3077.7000000000003</v>
      </c>
      <c r="S715" s="19">
        <f t="shared" si="289"/>
        <v>3077.7000000000003</v>
      </c>
      <c r="T715" s="19">
        <f t="shared" si="289"/>
        <v>0</v>
      </c>
      <c r="U715" s="19">
        <f t="shared" si="289"/>
        <v>3108.7</v>
      </c>
      <c r="V715" s="19">
        <f t="shared" si="289"/>
        <v>3108.7</v>
      </c>
      <c r="W715" s="19">
        <f t="shared" si="289"/>
        <v>0</v>
      </c>
    </row>
    <row r="716" spans="1:23">
      <c r="A716" s="630" t="s">
        <v>9</v>
      </c>
      <c r="B716" s="421" t="s">
        <v>67</v>
      </c>
      <c r="C716" s="421"/>
      <c r="D716" s="421"/>
      <c r="E716" s="421"/>
      <c r="F716" s="421"/>
      <c r="G716" s="421"/>
      <c r="H716" s="421"/>
      <c r="I716" s="421"/>
      <c r="J716" s="421"/>
      <c r="K716" s="421"/>
      <c r="L716" s="20">
        <f>SUM(L717,L722,)</f>
        <v>2361.5</v>
      </c>
      <c r="M716" s="20">
        <f t="shared" ref="M716:W716" si="290">SUM(M717,M722,)</f>
        <v>451.9</v>
      </c>
      <c r="N716" s="20">
        <f t="shared" si="290"/>
        <v>124.30000000000001</v>
      </c>
      <c r="O716" s="20">
        <f t="shared" si="290"/>
        <v>764.5</v>
      </c>
      <c r="P716" s="20">
        <f t="shared" si="290"/>
        <v>764.5</v>
      </c>
      <c r="Q716" s="20">
        <f t="shared" si="290"/>
        <v>0</v>
      </c>
      <c r="R716" s="20">
        <f t="shared" si="290"/>
        <v>757.4</v>
      </c>
      <c r="S716" s="20">
        <f t="shared" si="290"/>
        <v>757.4</v>
      </c>
      <c r="T716" s="20">
        <f t="shared" si="290"/>
        <v>0</v>
      </c>
      <c r="U716" s="20">
        <f t="shared" si="290"/>
        <v>765</v>
      </c>
      <c r="V716" s="20">
        <f t="shared" si="290"/>
        <v>765</v>
      </c>
      <c r="W716" s="20">
        <f t="shared" si="290"/>
        <v>0</v>
      </c>
    </row>
    <row r="717" spans="1:23">
      <c r="A717" s="235" t="s">
        <v>57</v>
      </c>
      <c r="B717" s="229"/>
      <c r="C717" s="115"/>
      <c r="D717" s="383"/>
      <c r="E717" s="250"/>
      <c r="F717" s="250"/>
      <c r="G717" s="250"/>
      <c r="H717" s="250"/>
      <c r="I717" s="15"/>
      <c r="J717" s="115"/>
      <c r="K717" s="14"/>
      <c r="L717" s="22">
        <f t="shared" ref="L717:W717" si="291">SUM(L718:L721)</f>
        <v>2031.4</v>
      </c>
      <c r="M717" s="22">
        <f t="shared" si="291"/>
        <v>11.9</v>
      </c>
      <c r="N717" s="22">
        <f t="shared" si="291"/>
        <v>11.9</v>
      </c>
      <c r="O717" s="22">
        <f t="shared" si="291"/>
        <v>0</v>
      </c>
      <c r="P717" s="22">
        <f t="shared" si="291"/>
        <v>0</v>
      </c>
      <c r="Q717" s="22">
        <f t="shared" si="291"/>
        <v>0</v>
      </c>
      <c r="R717" s="22">
        <f t="shared" si="291"/>
        <v>0</v>
      </c>
      <c r="S717" s="22">
        <f t="shared" si="291"/>
        <v>0</v>
      </c>
      <c r="T717" s="22">
        <f t="shared" si="291"/>
        <v>0</v>
      </c>
      <c r="U717" s="22">
        <f t="shared" si="291"/>
        <v>0</v>
      </c>
      <c r="V717" s="22">
        <f t="shared" si="291"/>
        <v>0</v>
      </c>
      <c r="W717" s="22">
        <f t="shared" si="291"/>
        <v>0</v>
      </c>
    </row>
    <row r="718" spans="1:23" ht="153">
      <c r="A718" s="225" t="s">
        <v>318</v>
      </c>
      <c r="B718" s="229" t="s">
        <v>69</v>
      </c>
      <c r="C718" s="15"/>
      <c r="D718" s="226" t="s">
        <v>738</v>
      </c>
      <c r="E718" s="226" t="s">
        <v>93</v>
      </c>
      <c r="F718" s="226" t="s">
        <v>98</v>
      </c>
      <c r="G718" s="226" t="s">
        <v>114</v>
      </c>
      <c r="H718" s="250">
        <v>100</v>
      </c>
      <c r="I718" s="100" t="s">
        <v>1376</v>
      </c>
      <c r="J718" s="125" t="s">
        <v>1058</v>
      </c>
      <c r="K718" s="27"/>
      <c r="L718" s="25">
        <f>662.2+138.7</f>
        <v>800.90000000000009</v>
      </c>
      <c r="M718" s="25">
        <v>0</v>
      </c>
      <c r="N718" s="25">
        <v>0</v>
      </c>
      <c r="O718" s="25"/>
      <c r="P718" s="25"/>
      <c r="Q718" s="25"/>
      <c r="R718" s="25"/>
      <c r="S718" s="25"/>
      <c r="T718" s="25"/>
      <c r="U718" s="25"/>
      <c r="V718" s="25"/>
      <c r="W718" s="25"/>
    </row>
    <row r="719" spans="1:23" ht="153">
      <c r="A719" s="225" t="s">
        <v>210</v>
      </c>
      <c r="B719" s="229" t="s">
        <v>69</v>
      </c>
      <c r="C719" s="15"/>
      <c r="D719" s="226" t="s">
        <v>738</v>
      </c>
      <c r="E719" s="226" t="s">
        <v>93</v>
      </c>
      <c r="F719" s="226" t="s">
        <v>98</v>
      </c>
      <c r="G719" s="226" t="s">
        <v>114</v>
      </c>
      <c r="H719" s="250">
        <v>200</v>
      </c>
      <c r="I719" s="100" t="s">
        <v>1376</v>
      </c>
      <c r="J719" s="125" t="s">
        <v>1058</v>
      </c>
      <c r="K719" s="27"/>
      <c r="L719" s="25">
        <v>31.1</v>
      </c>
      <c r="M719" s="25">
        <v>0</v>
      </c>
      <c r="N719" s="25">
        <v>0</v>
      </c>
      <c r="O719" s="25"/>
      <c r="P719" s="25"/>
      <c r="Q719" s="25"/>
      <c r="R719" s="25"/>
      <c r="S719" s="25"/>
      <c r="T719" s="25"/>
      <c r="U719" s="25"/>
      <c r="V719" s="25"/>
      <c r="W719" s="25"/>
    </row>
    <row r="720" spans="1:23" ht="153">
      <c r="A720" s="225" t="s">
        <v>331</v>
      </c>
      <c r="B720" s="229" t="s">
        <v>69</v>
      </c>
      <c r="C720" s="15"/>
      <c r="D720" s="226" t="s">
        <v>738</v>
      </c>
      <c r="E720" s="226" t="s">
        <v>93</v>
      </c>
      <c r="F720" s="226" t="s">
        <v>98</v>
      </c>
      <c r="G720" s="226" t="s">
        <v>1060</v>
      </c>
      <c r="H720" s="250">
        <v>200</v>
      </c>
      <c r="I720" s="100" t="s">
        <v>1376</v>
      </c>
      <c r="J720" s="125" t="s">
        <v>1058</v>
      </c>
      <c r="K720" s="27"/>
      <c r="L720" s="25">
        <v>1199.4000000000001</v>
      </c>
      <c r="M720" s="25"/>
      <c r="N720" s="25"/>
      <c r="O720" s="25"/>
      <c r="P720" s="25"/>
      <c r="Q720" s="25"/>
      <c r="R720" s="25"/>
      <c r="S720" s="25"/>
      <c r="T720" s="25"/>
      <c r="U720" s="25"/>
      <c r="V720" s="25"/>
      <c r="W720" s="25"/>
    </row>
    <row r="721" spans="1:23" ht="153">
      <c r="A721" s="225" t="s">
        <v>20</v>
      </c>
      <c r="B721" s="229" t="s">
        <v>31</v>
      </c>
      <c r="C721" s="15"/>
      <c r="D721" s="226" t="s">
        <v>738</v>
      </c>
      <c r="E721" s="226" t="s">
        <v>93</v>
      </c>
      <c r="F721" s="226" t="s">
        <v>98</v>
      </c>
      <c r="G721" s="226" t="s">
        <v>114</v>
      </c>
      <c r="H721" s="250">
        <v>800</v>
      </c>
      <c r="I721" s="100" t="s">
        <v>1376</v>
      </c>
      <c r="J721" s="125" t="s">
        <v>1377</v>
      </c>
      <c r="K721" s="27"/>
      <c r="L721" s="25"/>
      <c r="M721" s="25">
        <v>11.9</v>
      </c>
      <c r="N721" s="25">
        <v>11.9</v>
      </c>
      <c r="O721" s="25"/>
      <c r="P721" s="25"/>
      <c r="Q721" s="25"/>
      <c r="R721" s="25"/>
      <c r="S721" s="25"/>
      <c r="T721" s="25"/>
      <c r="U721" s="25"/>
      <c r="V721" s="25"/>
      <c r="W721" s="25"/>
    </row>
    <row r="722" spans="1:23">
      <c r="A722" s="416" t="s">
        <v>73</v>
      </c>
      <c r="B722" s="416"/>
      <c r="C722" s="416"/>
      <c r="D722" s="416"/>
      <c r="E722" s="416"/>
      <c r="F722" s="416"/>
      <c r="G722" s="416"/>
      <c r="H722" s="416"/>
      <c r="I722" s="416"/>
      <c r="J722" s="416"/>
      <c r="K722" s="416"/>
      <c r="L722" s="28">
        <f>SUM(L723)</f>
        <v>330.09999999999997</v>
      </c>
      <c r="M722" s="28">
        <f t="shared" ref="M722:W722" si="292">SUM(M723)</f>
        <v>440</v>
      </c>
      <c r="N722" s="28">
        <f t="shared" si="292"/>
        <v>112.4</v>
      </c>
      <c r="O722" s="28">
        <f t="shared" si="292"/>
        <v>764.5</v>
      </c>
      <c r="P722" s="28">
        <f t="shared" si="292"/>
        <v>764.5</v>
      </c>
      <c r="Q722" s="28">
        <f t="shared" si="292"/>
        <v>0</v>
      </c>
      <c r="R722" s="28">
        <f t="shared" si="292"/>
        <v>757.4</v>
      </c>
      <c r="S722" s="28">
        <f t="shared" si="292"/>
        <v>757.4</v>
      </c>
      <c r="T722" s="28">
        <f t="shared" si="292"/>
        <v>0</v>
      </c>
      <c r="U722" s="28">
        <f t="shared" si="292"/>
        <v>765</v>
      </c>
      <c r="V722" s="28">
        <f t="shared" si="292"/>
        <v>765</v>
      </c>
      <c r="W722" s="28">
        <f t="shared" si="292"/>
        <v>0</v>
      </c>
    </row>
    <row r="723" spans="1:23" ht="37.5">
      <c r="A723" s="225" t="s">
        <v>21</v>
      </c>
      <c r="B723" s="229" t="s">
        <v>89</v>
      </c>
      <c r="C723" s="15"/>
      <c r="D723" s="375"/>
      <c r="E723" s="250"/>
      <c r="F723" s="250"/>
      <c r="G723" s="250"/>
      <c r="H723" s="250">
        <v>200</v>
      </c>
      <c r="I723" s="15"/>
      <c r="J723" s="15"/>
      <c r="K723" s="27"/>
      <c r="L723" s="25">
        <f>SUM(L724:L726)</f>
        <v>330.09999999999997</v>
      </c>
      <c r="M723" s="25">
        <f t="shared" ref="M723:W723" si="293">SUM(M724:M726)</f>
        <v>440</v>
      </c>
      <c r="N723" s="25">
        <f t="shared" si="293"/>
        <v>112.4</v>
      </c>
      <c r="O723" s="25">
        <f t="shared" si="293"/>
        <v>764.5</v>
      </c>
      <c r="P723" s="25">
        <f t="shared" si="293"/>
        <v>764.5</v>
      </c>
      <c r="Q723" s="25">
        <f t="shared" si="293"/>
        <v>0</v>
      </c>
      <c r="R723" s="25">
        <f t="shared" si="293"/>
        <v>757.4</v>
      </c>
      <c r="S723" s="25">
        <f t="shared" si="293"/>
        <v>757.4</v>
      </c>
      <c r="T723" s="25">
        <f t="shared" si="293"/>
        <v>0</v>
      </c>
      <c r="U723" s="25">
        <f t="shared" si="293"/>
        <v>765</v>
      </c>
      <c r="V723" s="25">
        <f t="shared" si="293"/>
        <v>765</v>
      </c>
      <c r="W723" s="25">
        <f t="shared" si="293"/>
        <v>0</v>
      </c>
    </row>
    <row r="724" spans="1:23" ht="127.5">
      <c r="A724" s="225" t="s">
        <v>42</v>
      </c>
      <c r="B724" s="229" t="s">
        <v>1061</v>
      </c>
      <c r="C724" s="15"/>
      <c r="D724" s="226" t="s">
        <v>738</v>
      </c>
      <c r="E724" s="226" t="s">
        <v>93</v>
      </c>
      <c r="F724" s="226" t="s">
        <v>98</v>
      </c>
      <c r="G724" s="226" t="s">
        <v>739</v>
      </c>
      <c r="H724" s="250">
        <v>200</v>
      </c>
      <c r="I724" s="100" t="s">
        <v>1062</v>
      </c>
      <c r="J724" s="125" t="s">
        <v>1063</v>
      </c>
      <c r="K724" s="27"/>
      <c r="L724" s="25">
        <v>45.7</v>
      </c>
      <c r="M724" s="25">
        <v>38.5</v>
      </c>
      <c r="N724" s="25">
        <v>30.9</v>
      </c>
      <c r="O724" s="25">
        <f>SUM(P724:Q724)</f>
        <v>90</v>
      </c>
      <c r="P724" s="25">
        <v>90</v>
      </c>
      <c r="Q724" s="25"/>
      <c r="R724" s="25">
        <f>SUM(S724:T724)</f>
        <v>90</v>
      </c>
      <c r="S724" s="25">
        <v>90</v>
      </c>
      <c r="T724" s="25"/>
      <c r="U724" s="25">
        <f>SUM(V724:W724)</f>
        <v>90</v>
      </c>
      <c r="V724" s="25">
        <v>90</v>
      </c>
      <c r="W724" s="25"/>
    </row>
    <row r="725" spans="1:23" ht="127.5">
      <c r="A725" s="225" t="s">
        <v>74</v>
      </c>
      <c r="B725" s="229" t="s">
        <v>1064</v>
      </c>
      <c r="C725" s="15"/>
      <c r="D725" s="226" t="s">
        <v>738</v>
      </c>
      <c r="E725" s="226" t="s">
        <v>93</v>
      </c>
      <c r="F725" s="226" t="s">
        <v>98</v>
      </c>
      <c r="G725" s="226" t="s">
        <v>739</v>
      </c>
      <c r="H725" s="250">
        <v>200</v>
      </c>
      <c r="I725" s="100" t="s">
        <v>1062</v>
      </c>
      <c r="J725" s="125" t="s">
        <v>1063</v>
      </c>
      <c r="K725" s="27"/>
      <c r="L725" s="25">
        <v>284.39999999999998</v>
      </c>
      <c r="M725" s="25">
        <v>301.5</v>
      </c>
      <c r="N725" s="25">
        <v>0</v>
      </c>
      <c r="O725" s="25">
        <f>SUM(P725:Q725)</f>
        <v>451.6</v>
      </c>
      <c r="P725" s="25">
        <v>451.6</v>
      </c>
      <c r="Q725" s="25"/>
      <c r="R725" s="25">
        <f>SUM(S725:T725)</f>
        <v>444.5</v>
      </c>
      <c r="S725" s="25">
        <v>444.5</v>
      </c>
      <c r="T725" s="25"/>
      <c r="U725" s="25">
        <f>SUM(V725:W725)</f>
        <v>452.1</v>
      </c>
      <c r="V725" s="25">
        <v>452.1</v>
      </c>
      <c r="W725" s="25"/>
    </row>
    <row r="726" spans="1:23" ht="127.5">
      <c r="A726" s="225" t="s">
        <v>77</v>
      </c>
      <c r="B726" s="229" t="s">
        <v>1378</v>
      </c>
      <c r="C726" s="15"/>
      <c r="D726" s="226" t="s">
        <v>738</v>
      </c>
      <c r="E726" s="226" t="s">
        <v>93</v>
      </c>
      <c r="F726" s="226" t="s">
        <v>98</v>
      </c>
      <c r="G726" s="226" t="s">
        <v>739</v>
      </c>
      <c r="H726" s="250">
        <v>200</v>
      </c>
      <c r="I726" s="100" t="s">
        <v>1062</v>
      </c>
      <c r="J726" s="125" t="s">
        <v>1063</v>
      </c>
      <c r="K726" s="27"/>
      <c r="L726" s="25">
        <v>0</v>
      </c>
      <c r="M726" s="25">
        <v>100</v>
      </c>
      <c r="N726" s="25">
        <v>81.5</v>
      </c>
      <c r="O726" s="25">
        <f>SUM(P726:Q726)</f>
        <v>222.9</v>
      </c>
      <c r="P726" s="25">
        <v>222.9</v>
      </c>
      <c r="Q726" s="25"/>
      <c r="R726" s="25">
        <f>SUM(S726:T726)</f>
        <v>222.9</v>
      </c>
      <c r="S726" s="25">
        <v>222.9</v>
      </c>
      <c r="T726" s="25"/>
      <c r="U726" s="25">
        <f>SUM(V726:W726)</f>
        <v>222.9</v>
      </c>
      <c r="V726" s="25">
        <v>222.9</v>
      </c>
      <c r="W726" s="25"/>
    </row>
    <row r="727" spans="1:23">
      <c r="A727" s="630" t="s">
        <v>19</v>
      </c>
      <c r="B727" s="421" t="s">
        <v>211</v>
      </c>
      <c r="C727" s="421"/>
      <c r="D727" s="421"/>
      <c r="E727" s="421"/>
      <c r="F727" s="421"/>
      <c r="G727" s="421"/>
      <c r="H727" s="421"/>
      <c r="I727" s="421"/>
      <c r="J727" s="421"/>
      <c r="K727" s="421"/>
      <c r="L727" s="665">
        <f t="shared" ref="L727:W727" si="294">SUM(L728:L728)</f>
        <v>2496.1</v>
      </c>
      <c r="M727" s="665">
        <f t="shared" si="294"/>
        <v>2648.8</v>
      </c>
      <c r="N727" s="665">
        <f t="shared" si="294"/>
        <v>2648.8</v>
      </c>
      <c r="O727" s="665">
        <f t="shared" si="294"/>
        <v>2342</v>
      </c>
      <c r="P727" s="665">
        <f t="shared" si="294"/>
        <v>2342</v>
      </c>
      <c r="Q727" s="665">
        <f t="shared" si="294"/>
        <v>0</v>
      </c>
      <c r="R727" s="665">
        <f t="shared" si="294"/>
        <v>2320.3000000000002</v>
      </c>
      <c r="S727" s="665">
        <f t="shared" si="294"/>
        <v>2320.3000000000002</v>
      </c>
      <c r="T727" s="665">
        <f t="shared" si="294"/>
        <v>0</v>
      </c>
      <c r="U727" s="665">
        <f t="shared" si="294"/>
        <v>2343.6999999999998</v>
      </c>
      <c r="V727" s="665">
        <f t="shared" si="294"/>
        <v>2343.6999999999998</v>
      </c>
      <c r="W727" s="665">
        <f t="shared" si="294"/>
        <v>0</v>
      </c>
    </row>
    <row r="728" spans="1:23" ht="112.5">
      <c r="A728" s="225" t="s">
        <v>17</v>
      </c>
      <c r="B728" s="38" t="s">
        <v>1379</v>
      </c>
      <c r="C728" s="39"/>
      <c r="D728" s="73" t="s">
        <v>738</v>
      </c>
      <c r="E728" s="80" t="s">
        <v>93</v>
      </c>
      <c r="F728" s="80" t="s">
        <v>98</v>
      </c>
      <c r="G728" s="80" t="s">
        <v>740</v>
      </c>
      <c r="H728" s="80">
        <v>810</v>
      </c>
      <c r="I728" s="373" t="s">
        <v>1065</v>
      </c>
      <c r="J728" s="39"/>
      <c r="K728" s="39"/>
      <c r="L728" s="25">
        <v>2496.1</v>
      </c>
      <c r="M728" s="25">
        <v>2648.8</v>
      </c>
      <c r="N728" s="25">
        <v>2648.8</v>
      </c>
      <c r="O728" s="25">
        <f>SUM(P728:Q728)</f>
        <v>2342</v>
      </c>
      <c r="P728" s="25">
        <v>2342</v>
      </c>
      <c r="Q728" s="25"/>
      <c r="R728" s="25">
        <f>SUM(S728:T728)</f>
        <v>2320.3000000000002</v>
      </c>
      <c r="S728" s="25">
        <v>2320.3000000000002</v>
      </c>
      <c r="T728" s="25"/>
      <c r="U728" s="25">
        <f>SUM(V728:W728)</f>
        <v>2343.6999999999998</v>
      </c>
      <c r="V728" s="25">
        <v>2343.6999999999998</v>
      </c>
      <c r="W728" s="25"/>
    </row>
    <row r="729" spans="1:23" ht="56.25">
      <c r="A729" s="629" t="s">
        <v>168</v>
      </c>
      <c r="B729" s="180" t="s">
        <v>169</v>
      </c>
      <c r="C729" s="8"/>
      <c r="D729" s="644"/>
      <c r="E729" s="644"/>
      <c r="F729" s="644"/>
      <c r="G729" s="644"/>
      <c r="H729" s="644"/>
      <c r="I729" s="8"/>
      <c r="J729" s="8"/>
      <c r="K729" s="8" t="s">
        <v>62</v>
      </c>
      <c r="L729" s="182">
        <f>SUM(L730,L836,L859,L865,L868)</f>
        <v>1280472.8999999999</v>
      </c>
      <c r="M729" s="182">
        <f t="shared" ref="M729:W729" si="295">SUM(M730,M836,M859,M865,M868)</f>
        <v>1290113.7</v>
      </c>
      <c r="N729" s="182">
        <f t="shared" si="295"/>
        <v>657370.4</v>
      </c>
      <c r="O729" s="182">
        <f t="shared" si="295"/>
        <v>1083766.5</v>
      </c>
      <c r="P729" s="182">
        <f t="shared" si="295"/>
        <v>1083766.5</v>
      </c>
      <c r="Q729" s="182">
        <f t="shared" si="295"/>
        <v>0</v>
      </c>
      <c r="R729" s="182">
        <f t="shared" si="295"/>
        <v>1198407.2999999998</v>
      </c>
      <c r="S729" s="182">
        <f t="shared" si="295"/>
        <v>1198407.2999999998</v>
      </c>
      <c r="T729" s="182">
        <f t="shared" si="295"/>
        <v>0</v>
      </c>
      <c r="U729" s="182">
        <f t="shared" si="295"/>
        <v>1243288.3</v>
      </c>
      <c r="V729" s="182">
        <f t="shared" si="295"/>
        <v>1243288.3</v>
      </c>
      <c r="W729" s="182">
        <f t="shared" si="295"/>
        <v>0</v>
      </c>
    </row>
    <row r="730" spans="1:23">
      <c r="A730" s="630" t="s">
        <v>9</v>
      </c>
      <c r="B730" s="422" t="s">
        <v>67</v>
      </c>
      <c r="C730" s="422"/>
      <c r="D730" s="422"/>
      <c r="E730" s="422"/>
      <c r="F730" s="422"/>
      <c r="G730" s="422"/>
      <c r="H730" s="422"/>
      <c r="I730" s="422"/>
      <c r="J730" s="422"/>
      <c r="K730" s="422"/>
      <c r="L730" s="183">
        <f>SUM(L731,L738,L767,L783,L798,L813)</f>
        <v>1224409.5</v>
      </c>
      <c r="M730" s="183">
        <f t="shared" ref="M730:W730" si="296">SUM(M731,M738,M767,M783,M798,M813)</f>
        <v>1239291.6000000001</v>
      </c>
      <c r="N730" s="183">
        <f t="shared" si="296"/>
        <v>621701.4</v>
      </c>
      <c r="O730" s="183">
        <f t="shared" si="296"/>
        <v>1033606.7</v>
      </c>
      <c r="P730" s="183">
        <f t="shared" si="296"/>
        <v>1033606.7</v>
      </c>
      <c r="Q730" s="183">
        <f t="shared" si="296"/>
        <v>0</v>
      </c>
      <c r="R730" s="183">
        <f t="shared" si="296"/>
        <v>1144408.0999999999</v>
      </c>
      <c r="S730" s="183">
        <f t="shared" si="296"/>
        <v>1144408.0999999999</v>
      </c>
      <c r="T730" s="183">
        <f t="shared" si="296"/>
        <v>0</v>
      </c>
      <c r="U730" s="183">
        <f t="shared" si="296"/>
        <v>1186857.1000000001</v>
      </c>
      <c r="V730" s="183">
        <f t="shared" si="296"/>
        <v>1186857.1000000001</v>
      </c>
      <c r="W730" s="183">
        <f t="shared" si="296"/>
        <v>0</v>
      </c>
    </row>
    <row r="731" spans="1:23">
      <c r="A731" s="235" t="s">
        <v>57</v>
      </c>
      <c r="B731" s="229"/>
      <c r="C731" s="115"/>
      <c r="D731" s="383"/>
      <c r="E731" s="250"/>
      <c r="F731" s="250"/>
      <c r="G731" s="250"/>
      <c r="H731" s="250"/>
      <c r="I731" s="15"/>
      <c r="J731" s="115"/>
      <c r="K731" s="14"/>
      <c r="L731" s="22">
        <f>L732+L737</f>
        <v>76192.7</v>
      </c>
      <c r="M731" s="22">
        <f t="shared" ref="M731:W731" si="297">M732+M737</f>
        <v>78270.799999999988</v>
      </c>
      <c r="N731" s="22">
        <f t="shared" si="297"/>
        <v>52386.3</v>
      </c>
      <c r="O731" s="22">
        <f t="shared" si="297"/>
        <v>87130.1</v>
      </c>
      <c r="P731" s="22">
        <f t="shared" si="297"/>
        <v>87130.1</v>
      </c>
      <c r="Q731" s="22">
        <f t="shared" si="297"/>
        <v>0</v>
      </c>
      <c r="R731" s="22">
        <f t="shared" si="297"/>
        <v>89844.499999999985</v>
      </c>
      <c r="S731" s="22">
        <f t="shared" si="297"/>
        <v>89844.499999999985</v>
      </c>
      <c r="T731" s="22">
        <f t="shared" si="297"/>
        <v>0</v>
      </c>
      <c r="U731" s="22">
        <f t="shared" si="297"/>
        <v>86584.2</v>
      </c>
      <c r="V731" s="22">
        <f t="shared" si="297"/>
        <v>86584.2</v>
      </c>
      <c r="W731" s="22">
        <f t="shared" si="297"/>
        <v>0</v>
      </c>
    </row>
    <row r="732" spans="1:23" ht="37.5">
      <c r="A732" s="403" t="s">
        <v>10</v>
      </c>
      <c r="B732" s="229" t="s">
        <v>741</v>
      </c>
      <c r="C732" s="423" t="s">
        <v>742</v>
      </c>
      <c r="D732" s="424"/>
      <c r="E732" s="226" t="s">
        <v>743</v>
      </c>
      <c r="F732" s="226" t="s">
        <v>744</v>
      </c>
      <c r="G732" s="377"/>
      <c r="H732" s="250">
        <v>100</v>
      </c>
      <c r="I732" s="109" t="s">
        <v>745</v>
      </c>
      <c r="J732" s="198" t="s">
        <v>594</v>
      </c>
      <c r="K732" s="121"/>
      <c r="L732" s="25">
        <f>L734+L735+L736+L733</f>
        <v>74252</v>
      </c>
      <c r="M732" s="25">
        <f>M734+M735+M733</f>
        <v>75682.399999999994</v>
      </c>
      <c r="N732" s="25">
        <f>N734+N735+N733</f>
        <v>50645.200000000004</v>
      </c>
      <c r="O732" s="25">
        <f>SUM(P732:Q732)</f>
        <v>84645.5</v>
      </c>
      <c r="P732" s="25">
        <f>P734+P735+P733+P736</f>
        <v>84645.5</v>
      </c>
      <c r="Q732" s="25">
        <f>Q734</f>
        <v>0</v>
      </c>
      <c r="R732" s="25">
        <f>SUM(S732:T732)</f>
        <v>87680.299999999988</v>
      </c>
      <c r="S732" s="25">
        <f>S734+S735+S733+S736</f>
        <v>87680.299999999988</v>
      </c>
      <c r="T732" s="25">
        <f>T734</f>
        <v>0</v>
      </c>
      <c r="U732" s="25">
        <f>SUM(V732:W732)</f>
        <v>84398.099999999991</v>
      </c>
      <c r="V732" s="25">
        <f>V734+V735+V733+V736</f>
        <v>84398.099999999991</v>
      </c>
      <c r="W732" s="25">
        <f>W734</f>
        <v>0</v>
      </c>
    </row>
    <row r="733" spans="1:23">
      <c r="A733" s="403"/>
      <c r="B733" s="189" t="s">
        <v>746</v>
      </c>
      <c r="C733" s="423"/>
      <c r="D733" s="424"/>
      <c r="E733" s="226" t="s">
        <v>92</v>
      </c>
      <c r="F733" s="226" t="s">
        <v>143</v>
      </c>
      <c r="G733" s="256">
        <v>7770101000</v>
      </c>
      <c r="H733" s="250"/>
      <c r="I733" s="109"/>
      <c r="J733" s="198"/>
      <c r="K733" s="121"/>
      <c r="L733" s="184">
        <v>3116.1</v>
      </c>
      <c r="M733" s="184">
        <v>3014.2</v>
      </c>
      <c r="N733" s="184">
        <v>1942.9</v>
      </c>
      <c r="O733" s="184">
        <f>P733</f>
        <v>3640.1</v>
      </c>
      <c r="P733" s="184">
        <v>3640.1</v>
      </c>
      <c r="Q733" s="184">
        <v>0</v>
      </c>
      <c r="R733" s="184">
        <f>S733</f>
        <v>3606.4</v>
      </c>
      <c r="S733" s="184">
        <v>3606.4</v>
      </c>
      <c r="T733" s="184">
        <v>0</v>
      </c>
      <c r="U733" s="184">
        <f>V733</f>
        <v>3642.7</v>
      </c>
      <c r="V733" s="184">
        <v>3642.7</v>
      </c>
      <c r="W733" s="184">
        <v>0</v>
      </c>
    </row>
    <row r="734" spans="1:23">
      <c r="A734" s="403"/>
      <c r="B734" s="189" t="s">
        <v>170</v>
      </c>
      <c r="C734" s="423"/>
      <c r="D734" s="424"/>
      <c r="E734" s="108" t="s">
        <v>92</v>
      </c>
      <c r="F734" s="108" t="s">
        <v>93</v>
      </c>
      <c r="G734" s="250">
        <v>7770100190</v>
      </c>
      <c r="H734" s="250"/>
      <c r="I734" s="400" t="s">
        <v>747</v>
      </c>
      <c r="J734" s="198" t="s">
        <v>748</v>
      </c>
      <c r="K734" s="121"/>
      <c r="L734" s="184">
        <v>69499.199999999997</v>
      </c>
      <c r="M734" s="184">
        <v>72668.2</v>
      </c>
      <c r="N734" s="184">
        <v>48702.3</v>
      </c>
      <c r="O734" s="184">
        <f>P734+Q734</f>
        <v>81005.399999999994</v>
      </c>
      <c r="P734" s="184">
        <v>81005.399999999994</v>
      </c>
      <c r="Q734" s="184">
        <v>0</v>
      </c>
      <c r="R734" s="184">
        <f>S734</f>
        <v>84073.9</v>
      </c>
      <c r="S734" s="184">
        <v>84073.9</v>
      </c>
      <c r="T734" s="184">
        <v>0</v>
      </c>
      <c r="U734" s="184">
        <f>V734+W734</f>
        <v>80755.399999999994</v>
      </c>
      <c r="V734" s="184">
        <v>80755.399999999994</v>
      </c>
      <c r="W734" s="184">
        <v>0</v>
      </c>
    </row>
    <row r="735" spans="1:23" ht="38.25">
      <c r="A735" s="403"/>
      <c r="B735" s="189" t="s">
        <v>1076</v>
      </c>
      <c r="C735" s="423"/>
      <c r="D735" s="424"/>
      <c r="E735" s="108" t="s">
        <v>92</v>
      </c>
      <c r="F735" s="108" t="s">
        <v>93</v>
      </c>
      <c r="G735" s="250">
        <v>2410725030</v>
      </c>
      <c r="H735" s="250"/>
      <c r="I735" s="400"/>
      <c r="J735" s="198"/>
      <c r="K735" s="121"/>
      <c r="L735" s="184">
        <v>24.9</v>
      </c>
      <c r="M735" s="184">
        <v>0</v>
      </c>
      <c r="N735" s="184">
        <v>0</v>
      </c>
      <c r="O735" s="184">
        <f>P735</f>
        <v>0</v>
      </c>
      <c r="P735" s="184">
        <v>0</v>
      </c>
      <c r="Q735" s="184">
        <v>0</v>
      </c>
      <c r="R735" s="184">
        <f>S735</f>
        <v>0</v>
      </c>
      <c r="S735" s="184">
        <v>0</v>
      </c>
      <c r="T735" s="184">
        <v>0</v>
      </c>
      <c r="U735" s="184">
        <f>V735</f>
        <v>0</v>
      </c>
      <c r="V735" s="184">
        <v>0</v>
      </c>
      <c r="W735" s="184">
        <v>0</v>
      </c>
    </row>
    <row r="736" spans="1:23" ht="25.5">
      <c r="A736" s="403"/>
      <c r="B736" s="189" t="s">
        <v>1318</v>
      </c>
      <c r="C736" s="423"/>
      <c r="D736" s="218"/>
      <c r="E736" s="146" t="s">
        <v>1398</v>
      </c>
      <c r="F736" s="146" t="s">
        <v>1399</v>
      </c>
      <c r="G736" s="250">
        <v>7770455490</v>
      </c>
      <c r="H736" s="250"/>
      <c r="I736" s="104"/>
      <c r="J736" s="198"/>
      <c r="K736" s="121"/>
      <c r="L736" s="184">
        <v>1611.8</v>
      </c>
      <c r="M736" s="184">
        <v>0</v>
      </c>
      <c r="N736" s="184">
        <v>0</v>
      </c>
      <c r="O736" s="184">
        <f>P736</f>
        <v>0</v>
      </c>
      <c r="P736" s="184">
        <v>0</v>
      </c>
      <c r="Q736" s="184">
        <v>0</v>
      </c>
      <c r="R736" s="184">
        <f>S736</f>
        <v>0</v>
      </c>
      <c r="S736" s="184">
        <v>0</v>
      </c>
      <c r="T736" s="184">
        <v>0</v>
      </c>
      <c r="U736" s="184">
        <f>V736</f>
        <v>0</v>
      </c>
      <c r="V736" s="184">
        <v>0</v>
      </c>
      <c r="W736" s="184">
        <v>0</v>
      </c>
    </row>
    <row r="737" spans="1:23" ht="37.5">
      <c r="A737" s="225" t="s">
        <v>11</v>
      </c>
      <c r="B737" s="229" t="s">
        <v>69</v>
      </c>
      <c r="C737" s="423"/>
      <c r="D737" s="375"/>
      <c r="E737" s="226" t="s">
        <v>92</v>
      </c>
      <c r="F737" s="226" t="s">
        <v>93</v>
      </c>
      <c r="G737" s="250">
        <v>7770100190</v>
      </c>
      <c r="H737" s="250">
        <v>200</v>
      </c>
      <c r="I737" s="109" t="s">
        <v>749</v>
      </c>
      <c r="J737" s="198" t="s">
        <v>750</v>
      </c>
      <c r="K737" s="27"/>
      <c r="L737" s="25">
        <v>1940.7</v>
      </c>
      <c r="M737" s="25">
        <v>2588.4</v>
      </c>
      <c r="N737" s="25">
        <v>1741.1</v>
      </c>
      <c r="O737" s="25">
        <f>SUM(P737:Q737)</f>
        <v>2484.6</v>
      </c>
      <c r="P737" s="25">
        <v>2484.6</v>
      </c>
      <c r="Q737" s="25">
        <v>0</v>
      </c>
      <c r="R737" s="25">
        <f>SUM(S737:T737)</f>
        <v>2164.1999999999998</v>
      </c>
      <c r="S737" s="25">
        <v>2164.1999999999998</v>
      </c>
      <c r="T737" s="25">
        <v>0</v>
      </c>
      <c r="U737" s="25">
        <f>SUM(V737:W737)</f>
        <v>2186.1</v>
      </c>
      <c r="V737" s="25">
        <v>2186.1</v>
      </c>
      <c r="W737" s="25">
        <v>0</v>
      </c>
    </row>
    <row r="738" spans="1:23">
      <c r="A738" s="411" t="s">
        <v>88</v>
      </c>
      <c r="B738" s="411"/>
      <c r="C738" s="411"/>
      <c r="D738" s="411"/>
      <c r="E738" s="411"/>
      <c r="F738" s="411"/>
      <c r="G738" s="411"/>
      <c r="H738" s="411"/>
      <c r="I738" s="411"/>
      <c r="J738" s="411"/>
      <c r="K738" s="411"/>
      <c r="L738" s="22">
        <f t="shared" ref="L738:W738" si="298">SUM(L739,L744,L763)</f>
        <v>76530.8</v>
      </c>
      <c r="M738" s="22">
        <f t="shared" si="298"/>
        <v>82425.099999999991</v>
      </c>
      <c r="N738" s="22">
        <f t="shared" si="298"/>
        <v>49616</v>
      </c>
      <c r="O738" s="22">
        <f t="shared" si="298"/>
        <v>85810.400000000009</v>
      </c>
      <c r="P738" s="22">
        <f t="shared" si="298"/>
        <v>85810.400000000009</v>
      </c>
      <c r="Q738" s="22">
        <f t="shared" si="298"/>
        <v>0</v>
      </c>
      <c r="R738" s="22">
        <f t="shared" si="298"/>
        <v>85015.599999999991</v>
      </c>
      <c r="S738" s="22">
        <f t="shared" si="298"/>
        <v>85015.599999999991</v>
      </c>
      <c r="T738" s="22">
        <f t="shared" si="298"/>
        <v>0</v>
      </c>
      <c r="U738" s="22">
        <f t="shared" si="298"/>
        <v>85871.999999999985</v>
      </c>
      <c r="V738" s="22">
        <f t="shared" si="298"/>
        <v>85871.999999999985</v>
      </c>
      <c r="W738" s="22">
        <f t="shared" si="298"/>
        <v>0</v>
      </c>
    </row>
    <row r="739" spans="1:23">
      <c r="A739" s="225" t="s">
        <v>12</v>
      </c>
      <c r="B739" s="229" t="s">
        <v>58</v>
      </c>
      <c r="C739" s="121"/>
      <c r="D739" s="218"/>
      <c r="E739" s="250"/>
      <c r="F739" s="250"/>
      <c r="G739" s="250"/>
      <c r="H739" s="250">
        <v>100</v>
      </c>
      <c r="I739" s="111"/>
      <c r="J739" s="121"/>
      <c r="K739" s="121"/>
      <c r="L739" s="25">
        <f>SUM(L740:L742)+L743</f>
        <v>49398</v>
      </c>
      <c r="M739" s="25">
        <f>SUM(M740:M742)+M743</f>
        <v>50912</v>
      </c>
      <c r="N739" s="25">
        <f>SUM(N740:N742)+N743</f>
        <v>31991.5</v>
      </c>
      <c r="O739" s="25">
        <f>SUM(O740:O742)+O743</f>
        <v>57842.400000000001</v>
      </c>
      <c r="P739" s="25">
        <f>SUM(P740:P742)+P743</f>
        <v>57842.400000000001</v>
      </c>
      <c r="Q739" s="25">
        <f>SUM(Q740:Q742)</f>
        <v>0</v>
      </c>
      <c r="R739" s="25">
        <f>SUM(R740:R742)+R743</f>
        <v>57061</v>
      </c>
      <c r="S739" s="25">
        <f>SUM(S740:S742)+S743</f>
        <v>57061</v>
      </c>
      <c r="T739" s="25">
        <f>SUM(T740:T742)</f>
        <v>0</v>
      </c>
      <c r="U739" s="25">
        <f>SUM(U740:U742)+U743</f>
        <v>57643.599999999991</v>
      </c>
      <c r="V739" s="25">
        <f>SUM(V740:V742)+V743</f>
        <v>57643.599999999991</v>
      </c>
      <c r="W739" s="25">
        <f>SUM(W740:W742)</f>
        <v>0</v>
      </c>
    </row>
    <row r="740" spans="1:23" ht="72">
      <c r="A740" s="225" t="s">
        <v>48</v>
      </c>
      <c r="B740" s="229" t="s">
        <v>751</v>
      </c>
      <c r="C740" s="71" t="s">
        <v>752</v>
      </c>
      <c r="D740" s="218"/>
      <c r="E740" s="108" t="s">
        <v>753</v>
      </c>
      <c r="F740" s="108" t="s">
        <v>754</v>
      </c>
      <c r="G740" s="108" t="s">
        <v>1077</v>
      </c>
      <c r="H740" s="250">
        <v>100</v>
      </c>
      <c r="I740" s="109" t="s">
        <v>755</v>
      </c>
      <c r="J740" s="198" t="s">
        <v>594</v>
      </c>
      <c r="K740" s="121"/>
      <c r="L740" s="25">
        <v>14107</v>
      </c>
      <c r="M740" s="25">
        <v>14377.6</v>
      </c>
      <c r="N740" s="25">
        <v>8964.7000000000007</v>
      </c>
      <c r="O740" s="25">
        <f>SUM(P740:Q740)</f>
        <v>16839.5</v>
      </c>
      <c r="P740" s="25">
        <v>16839.5</v>
      </c>
      <c r="Q740" s="25">
        <v>0</v>
      </c>
      <c r="R740" s="25">
        <f>SUM(S740:T740)</f>
        <v>16683.400000000001</v>
      </c>
      <c r="S740" s="25">
        <v>16683.400000000001</v>
      </c>
      <c r="T740" s="25">
        <v>0</v>
      </c>
      <c r="U740" s="25">
        <f>SUM(V740:W740)</f>
        <v>16851.599999999999</v>
      </c>
      <c r="V740" s="25">
        <v>16851.599999999999</v>
      </c>
      <c r="W740" s="25">
        <v>0</v>
      </c>
    </row>
    <row r="741" spans="1:23" ht="108">
      <c r="A741" s="225" t="s">
        <v>65</v>
      </c>
      <c r="B741" s="229" t="s">
        <v>756</v>
      </c>
      <c r="C741" s="71" t="s">
        <v>757</v>
      </c>
      <c r="D741" s="218"/>
      <c r="E741" s="108" t="s">
        <v>758</v>
      </c>
      <c r="F741" s="108" t="s">
        <v>759</v>
      </c>
      <c r="G741" s="108" t="s">
        <v>1078</v>
      </c>
      <c r="H741" s="250">
        <v>100</v>
      </c>
      <c r="I741" s="104" t="s">
        <v>760</v>
      </c>
      <c r="J741" s="192" t="s">
        <v>761</v>
      </c>
      <c r="K741" s="121"/>
      <c r="L741" s="25">
        <v>17102</v>
      </c>
      <c r="M741" s="25">
        <v>17963.2</v>
      </c>
      <c r="N741" s="25">
        <v>11509.2</v>
      </c>
      <c r="O741" s="25">
        <f>SUM(P741:Q741)</f>
        <v>21178.3</v>
      </c>
      <c r="P741" s="25">
        <v>21178.3</v>
      </c>
      <c r="Q741" s="25">
        <v>0</v>
      </c>
      <c r="R741" s="25">
        <f>SUM(S741:T741)</f>
        <v>20974.400000000001</v>
      </c>
      <c r="S741" s="25">
        <v>20974.400000000001</v>
      </c>
      <c r="T741" s="25">
        <v>0</v>
      </c>
      <c r="U741" s="25">
        <f>SUM(V741:W741)</f>
        <v>21193.3</v>
      </c>
      <c r="V741" s="25">
        <v>21193.3</v>
      </c>
      <c r="W741" s="25">
        <v>0</v>
      </c>
    </row>
    <row r="742" spans="1:23" ht="144">
      <c r="A742" s="225" t="s">
        <v>66</v>
      </c>
      <c r="B742" s="229" t="s">
        <v>762</v>
      </c>
      <c r="C742" s="71" t="s">
        <v>763</v>
      </c>
      <c r="D742" s="218"/>
      <c r="E742" s="226" t="s">
        <v>93</v>
      </c>
      <c r="F742" s="226" t="s">
        <v>82</v>
      </c>
      <c r="G742" s="226" t="s">
        <v>1079</v>
      </c>
      <c r="H742" s="250">
        <v>100</v>
      </c>
      <c r="I742" s="104" t="s">
        <v>765</v>
      </c>
      <c r="J742" s="192" t="s">
        <v>766</v>
      </c>
      <c r="K742" s="121"/>
      <c r="L742" s="25">
        <v>16056</v>
      </c>
      <c r="M742" s="25">
        <v>15731.6</v>
      </c>
      <c r="N742" s="25">
        <v>10202</v>
      </c>
      <c r="O742" s="25">
        <f>SUM(P742:Q742)</f>
        <v>17182</v>
      </c>
      <c r="P742" s="25">
        <v>17182</v>
      </c>
      <c r="Q742" s="25">
        <v>0</v>
      </c>
      <c r="R742" s="25">
        <f>SUM(S742:T742)</f>
        <v>16785.099999999999</v>
      </c>
      <c r="S742" s="25">
        <v>16785.099999999999</v>
      </c>
      <c r="T742" s="25">
        <v>0</v>
      </c>
      <c r="U742" s="25">
        <f>SUM(V742:W742)</f>
        <v>16954.2</v>
      </c>
      <c r="V742" s="25">
        <v>16954.2</v>
      </c>
      <c r="W742" s="25">
        <v>0</v>
      </c>
    </row>
    <row r="743" spans="1:23" ht="56.25">
      <c r="A743" s="225" t="s">
        <v>453</v>
      </c>
      <c r="B743" s="229" t="s">
        <v>767</v>
      </c>
      <c r="C743" s="71"/>
      <c r="D743" s="218"/>
      <c r="E743" s="226" t="s">
        <v>92</v>
      </c>
      <c r="F743" s="226" t="s">
        <v>83</v>
      </c>
      <c r="G743" s="226" t="s">
        <v>1400</v>
      </c>
      <c r="H743" s="250">
        <v>100</v>
      </c>
      <c r="I743" s="109" t="s">
        <v>745</v>
      </c>
      <c r="J743" s="198" t="s">
        <v>594</v>
      </c>
      <c r="K743" s="121"/>
      <c r="L743" s="25">
        <v>2133</v>
      </c>
      <c r="M743" s="25">
        <v>2839.6</v>
      </c>
      <c r="N743" s="25">
        <v>1315.6</v>
      </c>
      <c r="O743" s="25">
        <f>P743+Q743</f>
        <v>2642.6</v>
      </c>
      <c r="P743" s="25">
        <v>2642.6</v>
      </c>
      <c r="Q743" s="25">
        <v>0</v>
      </c>
      <c r="R743" s="25">
        <f>S743+T743</f>
        <v>2618.1</v>
      </c>
      <c r="S743" s="25">
        <v>2618.1</v>
      </c>
      <c r="T743" s="25">
        <v>0</v>
      </c>
      <c r="U743" s="25">
        <f>V743+W743</f>
        <v>2644.5</v>
      </c>
      <c r="V743" s="25">
        <v>2644.5</v>
      </c>
      <c r="W743" s="25">
        <v>0</v>
      </c>
    </row>
    <row r="744" spans="1:23" ht="37.5">
      <c r="A744" s="225" t="s">
        <v>13</v>
      </c>
      <c r="B744" s="229" t="s">
        <v>32</v>
      </c>
      <c r="C744" s="15"/>
      <c r="D744" s="375"/>
      <c r="E744" s="250"/>
      <c r="F744" s="250"/>
      <c r="G744" s="250"/>
      <c r="H744" s="250">
        <v>200</v>
      </c>
      <c r="I744" s="15"/>
      <c r="J744" s="15"/>
      <c r="K744" s="27"/>
      <c r="L744" s="25">
        <f t="shared" ref="L744:W744" si="299">L745+L747+L758</f>
        <v>24002.3</v>
      </c>
      <c r="M744" s="25">
        <f t="shared" si="299"/>
        <v>27927.9</v>
      </c>
      <c r="N744" s="25">
        <f t="shared" si="299"/>
        <v>14445.2</v>
      </c>
      <c r="O744" s="25">
        <f t="shared" si="299"/>
        <v>25158.399999999998</v>
      </c>
      <c r="P744" s="25">
        <f t="shared" si="299"/>
        <v>25158.399999999998</v>
      </c>
      <c r="Q744" s="25">
        <f t="shared" si="299"/>
        <v>0</v>
      </c>
      <c r="R744" s="25">
        <f t="shared" si="299"/>
        <v>24834.199999999997</v>
      </c>
      <c r="S744" s="25">
        <f t="shared" si="299"/>
        <v>24834.199999999997</v>
      </c>
      <c r="T744" s="25">
        <f t="shared" si="299"/>
        <v>0</v>
      </c>
      <c r="U744" s="25">
        <f t="shared" si="299"/>
        <v>25076.5</v>
      </c>
      <c r="V744" s="25">
        <f t="shared" si="299"/>
        <v>25076.5</v>
      </c>
      <c r="W744" s="25">
        <f t="shared" si="299"/>
        <v>0</v>
      </c>
    </row>
    <row r="745" spans="1:23" ht="36">
      <c r="A745" s="225" t="s">
        <v>49</v>
      </c>
      <c r="B745" s="229" t="s">
        <v>768</v>
      </c>
      <c r="C745" s="420"/>
      <c r="D745" s="419"/>
      <c r="E745" s="651"/>
      <c r="F745" s="651"/>
      <c r="G745" s="250"/>
      <c r="H745" s="250">
        <v>200</v>
      </c>
      <c r="I745" s="104" t="s">
        <v>769</v>
      </c>
      <c r="J745" s="105" t="s">
        <v>770</v>
      </c>
      <c r="K745" s="27"/>
      <c r="L745" s="25">
        <f>L746</f>
        <v>15762.4</v>
      </c>
      <c r="M745" s="25">
        <f t="shared" ref="M745:N745" si="300">M746</f>
        <v>15855.7</v>
      </c>
      <c r="N745" s="25">
        <f t="shared" si="300"/>
        <v>8822.2999999999993</v>
      </c>
      <c r="O745" s="25">
        <f>O746</f>
        <v>14596.1</v>
      </c>
      <c r="P745" s="25">
        <f t="shared" ref="P745:W745" si="301">P746</f>
        <v>14596.1</v>
      </c>
      <c r="Q745" s="25">
        <f t="shared" si="301"/>
        <v>0</v>
      </c>
      <c r="R745" s="25">
        <f t="shared" si="301"/>
        <v>14460.8</v>
      </c>
      <c r="S745" s="25">
        <f t="shared" si="301"/>
        <v>14460.8</v>
      </c>
      <c r="T745" s="25">
        <f t="shared" si="301"/>
        <v>0</v>
      </c>
      <c r="U745" s="25">
        <f t="shared" si="301"/>
        <v>14606.6</v>
      </c>
      <c r="V745" s="25">
        <f t="shared" si="301"/>
        <v>14606.6</v>
      </c>
      <c r="W745" s="25">
        <f t="shared" si="301"/>
        <v>0</v>
      </c>
    </row>
    <row r="746" spans="1:23" ht="24">
      <c r="A746" s="225"/>
      <c r="B746" s="242" t="s">
        <v>771</v>
      </c>
      <c r="C746" s="420"/>
      <c r="D746" s="419"/>
      <c r="E746" s="226" t="s">
        <v>92</v>
      </c>
      <c r="F746" s="226" t="s">
        <v>83</v>
      </c>
      <c r="G746" s="250">
        <v>2420100590</v>
      </c>
      <c r="H746" s="250"/>
      <c r="I746" s="104" t="s">
        <v>772</v>
      </c>
      <c r="J746" s="192" t="s">
        <v>773</v>
      </c>
      <c r="K746" s="27"/>
      <c r="L746" s="184">
        <v>15762.4</v>
      </c>
      <c r="M746" s="184">
        <v>15855.7</v>
      </c>
      <c r="N746" s="184">
        <v>8822.2999999999993</v>
      </c>
      <c r="O746" s="184">
        <f>P746+Q746</f>
        <v>14596.1</v>
      </c>
      <c r="P746" s="184">
        <v>14596.1</v>
      </c>
      <c r="Q746" s="184">
        <v>0</v>
      </c>
      <c r="R746" s="184">
        <f>S746</f>
        <v>14460.8</v>
      </c>
      <c r="S746" s="184">
        <v>14460.8</v>
      </c>
      <c r="T746" s="184">
        <v>0</v>
      </c>
      <c r="U746" s="184">
        <f>V746</f>
        <v>14606.6</v>
      </c>
      <c r="V746" s="184">
        <v>14606.6</v>
      </c>
      <c r="W746" s="184">
        <v>0</v>
      </c>
    </row>
    <row r="747" spans="1:23">
      <c r="A747" s="225" t="s">
        <v>70</v>
      </c>
      <c r="B747" s="229" t="s">
        <v>774</v>
      </c>
      <c r="C747" s="52"/>
      <c r="D747" s="218"/>
      <c r="E747" s="108"/>
      <c r="F747" s="108"/>
      <c r="G747" s="376"/>
      <c r="H747" s="250">
        <v>200</v>
      </c>
      <c r="I747" s="377"/>
      <c r="J747" s="378"/>
      <c r="K747" s="121"/>
      <c r="L747" s="25">
        <f>L748+L749+L751+L752+L750+L753+L754+L755+L757</f>
        <v>4207.7</v>
      </c>
      <c r="M747" s="25">
        <f>M748+M749+M750+M751+M752+M753+M754+M755+M757+M756</f>
        <v>6438.1</v>
      </c>
      <c r="N747" s="25">
        <f>N748+N749+N750+N751+N752+N753+N754+N755+N757+N756</f>
        <v>2354.1999999999998</v>
      </c>
      <c r="O747" s="25">
        <f>O748+O749+O750+O751+O752+O753+O754+O755+O757+O756</f>
        <v>5386.5999999999985</v>
      </c>
      <c r="P747" s="25">
        <f>P748+P749+P750+P751+P752+P753+P754+P755+P757+P756</f>
        <v>5386.5999999999985</v>
      </c>
      <c r="Q747" s="25">
        <f>Q748+Q749+Q750+Q751+Q752+Q753+Q754</f>
        <v>0</v>
      </c>
      <c r="R747" s="25">
        <f>R748+R749+R750+R751+R752+R753+R754+R755+R757+R756</f>
        <v>5344.5999999999995</v>
      </c>
      <c r="S747" s="25">
        <f>S748+S749+S750+S751+S752+S753+S754+S755+S757+S756</f>
        <v>5344.5999999999995</v>
      </c>
      <c r="T747" s="25">
        <f>T748+T749+T750+T751+T752+T753+T754</f>
        <v>0</v>
      </c>
      <c r="U747" s="25">
        <f>U748+U749+U750+U751+U752+U753+U754+U755+U757+U756</f>
        <v>5390.3999999999987</v>
      </c>
      <c r="V747" s="25">
        <f>V748+V749+V750+V751+V752+V753+V754+V755+V757+V756</f>
        <v>5390.3999999999987</v>
      </c>
      <c r="W747" s="25">
        <f>W748+W749+W750+W751+W752+W753+W754</f>
        <v>0</v>
      </c>
    </row>
    <row r="748" spans="1:23" ht="139.5">
      <c r="A748" s="225"/>
      <c r="B748" s="242" t="s">
        <v>1401</v>
      </c>
      <c r="C748" s="52"/>
      <c r="D748" s="218"/>
      <c r="E748" s="108" t="s">
        <v>1402</v>
      </c>
      <c r="F748" s="108" t="s">
        <v>1403</v>
      </c>
      <c r="G748" s="108" t="s">
        <v>124</v>
      </c>
      <c r="H748" s="250"/>
      <c r="I748" s="379" t="s">
        <v>775</v>
      </c>
      <c r="J748" s="198" t="s">
        <v>776</v>
      </c>
      <c r="K748" s="121"/>
      <c r="L748" s="184">
        <f>264.6+273.9</f>
        <v>538.5</v>
      </c>
      <c r="M748" s="184">
        <v>517.5</v>
      </c>
      <c r="N748" s="184">
        <v>517.5</v>
      </c>
      <c r="O748" s="184">
        <v>0</v>
      </c>
      <c r="P748" s="184">
        <v>0</v>
      </c>
      <c r="Q748" s="184">
        <v>0</v>
      </c>
      <c r="R748" s="184">
        <v>0</v>
      </c>
      <c r="S748" s="184">
        <v>0</v>
      </c>
      <c r="T748" s="184">
        <v>0</v>
      </c>
      <c r="U748" s="184">
        <v>0</v>
      </c>
      <c r="V748" s="184">
        <v>0</v>
      </c>
      <c r="W748" s="184">
        <v>0</v>
      </c>
    </row>
    <row r="749" spans="1:23" ht="30">
      <c r="A749" s="225"/>
      <c r="B749" s="190" t="s">
        <v>777</v>
      </c>
      <c r="C749" s="52"/>
      <c r="D749" s="218"/>
      <c r="E749" s="108" t="s">
        <v>95</v>
      </c>
      <c r="F749" s="108" t="s">
        <v>97</v>
      </c>
      <c r="G749" s="108" t="s">
        <v>778</v>
      </c>
      <c r="H749" s="250"/>
      <c r="I749" s="400" t="s">
        <v>779</v>
      </c>
      <c r="J749" s="400" t="s">
        <v>780</v>
      </c>
      <c r="K749" s="121"/>
      <c r="L749" s="184">
        <v>246.1</v>
      </c>
      <c r="M749" s="184">
        <v>291.39999999999998</v>
      </c>
      <c r="N749" s="184">
        <v>104.8</v>
      </c>
      <c r="O749" s="184">
        <f>P749+Q749</f>
        <v>484.4</v>
      </c>
      <c r="P749" s="184">
        <v>484.4</v>
      </c>
      <c r="Q749" s="184">
        <v>0</v>
      </c>
      <c r="R749" s="184">
        <f>S749+T749</f>
        <v>484</v>
      </c>
      <c r="S749" s="184">
        <v>484</v>
      </c>
      <c r="T749" s="184">
        <v>0</v>
      </c>
      <c r="U749" s="184">
        <f>V749+W749</f>
        <v>484.7</v>
      </c>
      <c r="V749" s="184">
        <v>484.7</v>
      </c>
      <c r="W749" s="184">
        <v>0</v>
      </c>
    </row>
    <row r="750" spans="1:23" ht="45">
      <c r="A750" s="225"/>
      <c r="B750" s="190" t="s">
        <v>781</v>
      </c>
      <c r="C750" s="52"/>
      <c r="D750" s="218"/>
      <c r="E750" s="108" t="s">
        <v>95</v>
      </c>
      <c r="F750" s="108" t="s">
        <v>97</v>
      </c>
      <c r="G750" s="108" t="s">
        <v>782</v>
      </c>
      <c r="H750" s="250"/>
      <c r="I750" s="400"/>
      <c r="J750" s="400"/>
      <c r="K750" s="121"/>
      <c r="L750" s="184">
        <v>76</v>
      </c>
      <c r="M750" s="184">
        <v>353.1</v>
      </c>
      <c r="N750" s="184">
        <v>0</v>
      </c>
      <c r="O750" s="184">
        <f>P750</f>
        <v>378.5</v>
      </c>
      <c r="P750" s="184">
        <v>378.5</v>
      </c>
      <c r="Q750" s="184">
        <v>0</v>
      </c>
      <c r="R750" s="184">
        <f t="shared" ref="R750:R757" si="302">S750</f>
        <v>378.5</v>
      </c>
      <c r="S750" s="184">
        <v>378.5</v>
      </c>
      <c r="T750" s="184">
        <v>0</v>
      </c>
      <c r="U750" s="184">
        <f t="shared" ref="U750:U757" si="303">V750</f>
        <v>378.9</v>
      </c>
      <c r="V750" s="184">
        <v>378.9</v>
      </c>
      <c r="W750" s="184">
        <v>0</v>
      </c>
    </row>
    <row r="751" spans="1:23" ht="30">
      <c r="A751" s="225"/>
      <c r="B751" s="190" t="s">
        <v>783</v>
      </c>
      <c r="C751" s="52"/>
      <c r="D751" s="218"/>
      <c r="E751" s="108" t="s">
        <v>95</v>
      </c>
      <c r="F751" s="108" t="s">
        <v>97</v>
      </c>
      <c r="G751" s="108" t="s">
        <v>784</v>
      </c>
      <c r="H751" s="250"/>
      <c r="I751" s="400"/>
      <c r="J751" s="400"/>
      <c r="K751" s="121"/>
      <c r="L751" s="184">
        <v>1360.8</v>
      </c>
      <c r="M751" s="184">
        <v>1464</v>
      </c>
      <c r="N751" s="184">
        <v>900.2</v>
      </c>
      <c r="O751" s="184">
        <f>P751+Q751</f>
        <v>1783.3</v>
      </c>
      <c r="P751" s="184">
        <v>1783.3</v>
      </c>
      <c r="Q751" s="184">
        <v>0</v>
      </c>
      <c r="R751" s="184">
        <f t="shared" si="302"/>
        <v>1766.6</v>
      </c>
      <c r="S751" s="184">
        <v>1766.6</v>
      </c>
      <c r="T751" s="184">
        <v>0</v>
      </c>
      <c r="U751" s="184">
        <f t="shared" si="303"/>
        <v>1784.3</v>
      </c>
      <c r="V751" s="184">
        <v>1784.3</v>
      </c>
      <c r="W751" s="184">
        <v>0</v>
      </c>
    </row>
    <row r="752" spans="1:23">
      <c r="A752" s="225"/>
      <c r="B752" s="242" t="s">
        <v>785</v>
      </c>
      <c r="C752" s="52"/>
      <c r="D752" s="218"/>
      <c r="E752" s="108" t="s">
        <v>95</v>
      </c>
      <c r="F752" s="108" t="s">
        <v>80</v>
      </c>
      <c r="G752" s="108" t="s">
        <v>184</v>
      </c>
      <c r="H752" s="250"/>
      <c r="I752" s="400"/>
      <c r="J752" s="400"/>
      <c r="K752" s="121"/>
      <c r="L752" s="184">
        <v>14.6</v>
      </c>
      <c r="M752" s="184">
        <v>62.7</v>
      </c>
      <c r="N752" s="184">
        <v>25.7</v>
      </c>
      <c r="O752" s="184">
        <f>P752+Q752</f>
        <v>55.1</v>
      </c>
      <c r="P752" s="184">
        <v>55.1</v>
      </c>
      <c r="Q752" s="184">
        <v>0</v>
      </c>
      <c r="R752" s="184">
        <f t="shared" si="302"/>
        <v>54.6</v>
      </c>
      <c r="S752" s="184">
        <v>54.6</v>
      </c>
      <c r="T752" s="184">
        <v>0</v>
      </c>
      <c r="U752" s="184">
        <f t="shared" si="303"/>
        <v>55.1</v>
      </c>
      <c r="V752" s="184">
        <v>55.1</v>
      </c>
      <c r="W752" s="184">
        <v>0</v>
      </c>
    </row>
    <row r="753" spans="1:23" ht="38.25">
      <c r="A753" s="225"/>
      <c r="B753" s="189" t="s">
        <v>786</v>
      </c>
      <c r="C753" s="52"/>
      <c r="D753" s="218"/>
      <c r="E753" s="108" t="s">
        <v>787</v>
      </c>
      <c r="F753" s="108" t="s">
        <v>788</v>
      </c>
      <c r="G753" s="108" t="s">
        <v>789</v>
      </c>
      <c r="H753" s="250"/>
      <c r="I753" s="109" t="s">
        <v>790</v>
      </c>
      <c r="J753" s="198" t="s">
        <v>791</v>
      </c>
      <c r="K753" s="121"/>
      <c r="L753" s="184">
        <v>9.5</v>
      </c>
      <c r="M753" s="184">
        <v>232.3</v>
      </c>
      <c r="N753" s="184">
        <v>0</v>
      </c>
      <c r="O753" s="184">
        <f>P753</f>
        <v>7</v>
      </c>
      <c r="P753" s="184">
        <v>7</v>
      </c>
      <c r="Q753" s="184">
        <v>0</v>
      </c>
      <c r="R753" s="184">
        <f t="shared" si="302"/>
        <v>7.1</v>
      </c>
      <c r="S753" s="184">
        <v>7.1</v>
      </c>
      <c r="T753" s="184">
        <v>0</v>
      </c>
      <c r="U753" s="184">
        <f t="shared" si="303"/>
        <v>7.1</v>
      </c>
      <c r="V753" s="184">
        <v>7.1</v>
      </c>
      <c r="W753" s="184">
        <v>0</v>
      </c>
    </row>
    <row r="754" spans="1:23" ht="25.5">
      <c r="A754" s="225"/>
      <c r="B754" s="189" t="s">
        <v>792</v>
      </c>
      <c r="C754" s="52"/>
      <c r="D754" s="218"/>
      <c r="E754" s="108" t="s">
        <v>95</v>
      </c>
      <c r="F754" s="108" t="s">
        <v>97</v>
      </c>
      <c r="G754" s="108" t="s">
        <v>793</v>
      </c>
      <c r="H754" s="250"/>
      <c r="I754" s="400" t="s">
        <v>794</v>
      </c>
      <c r="J754" s="400" t="s">
        <v>795</v>
      </c>
      <c r="K754" s="121"/>
      <c r="L754" s="184">
        <v>96</v>
      </c>
      <c r="M754" s="184">
        <v>84.8</v>
      </c>
      <c r="N754" s="184">
        <v>31.7</v>
      </c>
      <c r="O754" s="184">
        <f>P754</f>
        <v>245.5</v>
      </c>
      <c r="P754" s="184">
        <v>245.5</v>
      </c>
      <c r="Q754" s="184">
        <v>0</v>
      </c>
      <c r="R754" s="184">
        <f t="shared" si="302"/>
        <v>243.3</v>
      </c>
      <c r="S754" s="184">
        <v>243.3</v>
      </c>
      <c r="T754" s="184">
        <v>0</v>
      </c>
      <c r="U754" s="184">
        <f t="shared" si="303"/>
        <v>245.6</v>
      </c>
      <c r="V754" s="184">
        <v>245.6</v>
      </c>
      <c r="W754" s="184">
        <v>0</v>
      </c>
    </row>
    <row r="755" spans="1:23" ht="38.25">
      <c r="A755" s="225"/>
      <c r="B755" s="189" t="s">
        <v>796</v>
      </c>
      <c r="C755" s="121"/>
      <c r="D755" s="218"/>
      <c r="E755" s="108" t="s">
        <v>93</v>
      </c>
      <c r="F755" s="108" t="s">
        <v>80</v>
      </c>
      <c r="G755" s="108" t="s">
        <v>797</v>
      </c>
      <c r="H755" s="250"/>
      <c r="I755" s="400"/>
      <c r="J755" s="400"/>
      <c r="K755" s="121"/>
      <c r="L755" s="184">
        <v>1110.0999999999999</v>
      </c>
      <c r="M755" s="184">
        <v>1907.8</v>
      </c>
      <c r="N755" s="184">
        <v>758.6</v>
      </c>
      <c r="O755" s="184">
        <f>P755</f>
        <v>2020</v>
      </c>
      <c r="P755" s="184">
        <v>2020</v>
      </c>
      <c r="Q755" s="184">
        <v>0</v>
      </c>
      <c r="R755" s="184">
        <f t="shared" si="302"/>
        <v>2001.2</v>
      </c>
      <c r="S755" s="184">
        <v>2001.2</v>
      </c>
      <c r="T755" s="184">
        <v>0</v>
      </c>
      <c r="U755" s="184">
        <f t="shared" si="303"/>
        <v>2021.5</v>
      </c>
      <c r="V755" s="184">
        <v>2021.5</v>
      </c>
      <c r="W755" s="184">
        <v>0</v>
      </c>
    </row>
    <row r="756" spans="1:23" ht="25.5">
      <c r="A756" s="225"/>
      <c r="B756" s="189" t="s">
        <v>798</v>
      </c>
      <c r="C756" s="121"/>
      <c r="D756" s="218"/>
      <c r="E756" s="108" t="s">
        <v>95</v>
      </c>
      <c r="F756" s="108" t="s">
        <v>97</v>
      </c>
      <c r="G756" s="108" t="s">
        <v>799</v>
      </c>
      <c r="H756" s="250"/>
      <c r="I756" s="400"/>
      <c r="J756" s="400"/>
      <c r="K756" s="121"/>
      <c r="L756" s="184">
        <v>0</v>
      </c>
      <c r="M756" s="184">
        <v>307.89999999999998</v>
      </c>
      <c r="N756" s="184">
        <v>0</v>
      </c>
      <c r="O756" s="184">
        <f>P756</f>
        <v>378.4</v>
      </c>
      <c r="P756" s="184">
        <v>378.4</v>
      </c>
      <c r="Q756" s="184">
        <v>0</v>
      </c>
      <c r="R756" s="184">
        <f t="shared" si="302"/>
        <v>374.9</v>
      </c>
      <c r="S756" s="184">
        <v>374.9</v>
      </c>
      <c r="T756" s="184">
        <v>0</v>
      </c>
      <c r="U756" s="184">
        <f t="shared" si="303"/>
        <v>378.7</v>
      </c>
      <c r="V756" s="184">
        <v>378.7</v>
      </c>
      <c r="W756" s="184">
        <v>0</v>
      </c>
    </row>
    <row r="757" spans="1:23">
      <c r="A757" s="225"/>
      <c r="B757" s="189" t="s">
        <v>421</v>
      </c>
      <c r="C757" s="121"/>
      <c r="D757" s="218"/>
      <c r="E757" s="108" t="s">
        <v>95</v>
      </c>
      <c r="F757" s="108" t="s">
        <v>80</v>
      </c>
      <c r="G757" s="108" t="s">
        <v>422</v>
      </c>
      <c r="H757" s="250"/>
      <c r="I757" s="400"/>
      <c r="J757" s="400"/>
      <c r="K757" s="121"/>
      <c r="L757" s="184">
        <v>756.1</v>
      </c>
      <c r="M757" s="184">
        <v>1216.5999999999999</v>
      </c>
      <c r="N757" s="184">
        <v>15.7</v>
      </c>
      <c r="O757" s="184">
        <f>P757</f>
        <v>34.4</v>
      </c>
      <c r="P757" s="184">
        <v>34.4</v>
      </c>
      <c r="Q757" s="184">
        <v>0</v>
      </c>
      <c r="R757" s="184">
        <f t="shared" si="302"/>
        <v>34.4</v>
      </c>
      <c r="S757" s="184">
        <v>34.4</v>
      </c>
      <c r="T757" s="184">
        <v>0</v>
      </c>
      <c r="U757" s="184">
        <f t="shared" si="303"/>
        <v>34.5</v>
      </c>
      <c r="V757" s="184">
        <v>34.5</v>
      </c>
      <c r="W757" s="184">
        <v>0</v>
      </c>
    </row>
    <row r="758" spans="1:23">
      <c r="A758" s="225" t="s">
        <v>71</v>
      </c>
      <c r="B758" s="229" t="s">
        <v>800</v>
      </c>
      <c r="C758" s="121"/>
      <c r="D758" s="218"/>
      <c r="E758" s="226"/>
      <c r="F758" s="226"/>
      <c r="G758" s="108"/>
      <c r="H758" s="250">
        <v>200</v>
      </c>
      <c r="I758" s="400"/>
      <c r="J758" s="400"/>
      <c r="K758" s="121"/>
      <c r="L758" s="25">
        <f>L759+L760+L761+L762</f>
        <v>4032.2000000000003</v>
      </c>
      <c r="M758" s="25">
        <f>M760+M761+M762+M759</f>
        <v>5634.1</v>
      </c>
      <c r="N758" s="25">
        <f>N760+N761+N762+N759</f>
        <v>3268.7</v>
      </c>
      <c r="O758" s="25">
        <f>O760+O761+O759</f>
        <v>5175.7</v>
      </c>
      <c r="P758" s="25">
        <f>P760+P761+P759</f>
        <v>5175.7</v>
      </c>
      <c r="Q758" s="25">
        <f t="shared" ref="Q758:W758" si="304">Q760+Q761</f>
        <v>0</v>
      </c>
      <c r="R758" s="25">
        <f>R760+R761+R759</f>
        <v>5028.8</v>
      </c>
      <c r="S758" s="25">
        <f>S760+S761+S759</f>
        <v>5028.8</v>
      </c>
      <c r="T758" s="25">
        <f t="shared" si="304"/>
        <v>0</v>
      </c>
      <c r="U758" s="25">
        <f>U760+U761+U759</f>
        <v>5079.5</v>
      </c>
      <c r="V758" s="25">
        <f>V760+V761+V759</f>
        <v>5079.5</v>
      </c>
      <c r="W758" s="25">
        <f t="shared" si="304"/>
        <v>0</v>
      </c>
    </row>
    <row r="759" spans="1:23" ht="36">
      <c r="A759" s="225"/>
      <c r="B759" s="202" t="s">
        <v>1404</v>
      </c>
      <c r="C759" s="121"/>
      <c r="D759" s="218"/>
      <c r="E759" s="108" t="s">
        <v>93</v>
      </c>
      <c r="F759" s="108" t="s">
        <v>82</v>
      </c>
      <c r="G759" s="108" t="s">
        <v>1405</v>
      </c>
      <c r="H759" s="250"/>
      <c r="I759" s="400"/>
      <c r="J759" s="400"/>
      <c r="K759" s="121"/>
      <c r="L759" s="184">
        <v>0</v>
      </c>
      <c r="M759" s="184">
        <v>707.5</v>
      </c>
      <c r="N759" s="184">
        <v>626.29999999999995</v>
      </c>
      <c r="O759" s="184">
        <f>P759</f>
        <v>825.4</v>
      </c>
      <c r="P759" s="184">
        <v>825.4</v>
      </c>
      <c r="Q759" s="184">
        <v>0</v>
      </c>
      <c r="R759" s="184">
        <f>S759</f>
        <v>817.8</v>
      </c>
      <c r="S759" s="184">
        <v>817.8</v>
      </c>
      <c r="T759" s="184">
        <v>0</v>
      </c>
      <c r="U759" s="184">
        <f>V759</f>
        <v>826</v>
      </c>
      <c r="V759" s="184">
        <v>826</v>
      </c>
      <c r="W759" s="184">
        <v>0</v>
      </c>
    </row>
    <row r="760" spans="1:23" ht="31.5">
      <c r="A760" s="225"/>
      <c r="B760" s="190" t="s">
        <v>801</v>
      </c>
      <c r="C760" s="121"/>
      <c r="D760" s="218"/>
      <c r="E760" s="108" t="s">
        <v>802</v>
      </c>
      <c r="F760" s="108" t="s">
        <v>803</v>
      </c>
      <c r="G760" s="108" t="s">
        <v>804</v>
      </c>
      <c r="H760" s="250"/>
      <c r="I760" s="400" t="s">
        <v>805</v>
      </c>
      <c r="J760" s="192" t="s">
        <v>806</v>
      </c>
      <c r="K760" s="121"/>
      <c r="L760" s="184">
        <v>2743.8</v>
      </c>
      <c r="M760" s="184">
        <v>3346.9</v>
      </c>
      <c r="N760" s="184">
        <v>1941.4</v>
      </c>
      <c r="O760" s="184">
        <f>P760</f>
        <v>2939</v>
      </c>
      <c r="P760" s="184">
        <v>2939</v>
      </c>
      <c r="Q760" s="184">
        <v>0</v>
      </c>
      <c r="R760" s="184">
        <f>S760</f>
        <v>2911.8</v>
      </c>
      <c r="S760" s="184">
        <v>2911.8</v>
      </c>
      <c r="T760" s="184">
        <v>0</v>
      </c>
      <c r="U760" s="184">
        <f>V760</f>
        <v>2941.2</v>
      </c>
      <c r="V760" s="184">
        <v>2941.2</v>
      </c>
      <c r="W760" s="184">
        <v>0</v>
      </c>
    </row>
    <row r="761" spans="1:23" ht="30">
      <c r="A761" s="225"/>
      <c r="B761" s="190" t="s">
        <v>113</v>
      </c>
      <c r="C761" s="121"/>
      <c r="D761" s="218"/>
      <c r="E761" s="108" t="s">
        <v>93</v>
      </c>
      <c r="F761" s="108" t="s">
        <v>82</v>
      </c>
      <c r="G761" s="108" t="s">
        <v>764</v>
      </c>
      <c r="H761" s="250"/>
      <c r="I761" s="400"/>
      <c r="J761" s="192"/>
      <c r="K761" s="121"/>
      <c r="L761" s="184">
        <v>1288.4000000000001</v>
      </c>
      <c r="M761" s="184">
        <v>1236.0999999999999</v>
      </c>
      <c r="N761" s="184">
        <v>701</v>
      </c>
      <c r="O761" s="184">
        <f>P761</f>
        <v>1411.3</v>
      </c>
      <c r="P761" s="184">
        <v>1411.3</v>
      </c>
      <c r="Q761" s="184">
        <v>0</v>
      </c>
      <c r="R761" s="184">
        <f>S761</f>
        <v>1299.2</v>
      </c>
      <c r="S761" s="184">
        <v>1299.2</v>
      </c>
      <c r="T761" s="184">
        <v>0</v>
      </c>
      <c r="U761" s="184">
        <f>V761</f>
        <v>1312.3</v>
      </c>
      <c r="V761" s="184">
        <v>1312.3</v>
      </c>
      <c r="W761" s="184">
        <v>0</v>
      </c>
    </row>
    <row r="762" spans="1:23" ht="45">
      <c r="A762" s="225"/>
      <c r="B762" s="190" t="s">
        <v>1406</v>
      </c>
      <c r="C762" s="121"/>
      <c r="D762" s="218"/>
      <c r="E762" s="108" t="s">
        <v>146</v>
      </c>
      <c r="F762" s="108" t="s">
        <v>92</v>
      </c>
      <c r="G762" s="108" t="s">
        <v>953</v>
      </c>
      <c r="H762" s="250"/>
      <c r="I762" s="400" t="s">
        <v>1407</v>
      </c>
      <c r="J762" s="192" t="s">
        <v>1408</v>
      </c>
      <c r="K762" s="121"/>
      <c r="L762" s="184">
        <v>0</v>
      </c>
      <c r="M762" s="184">
        <v>343.6</v>
      </c>
      <c r="N762" s="184">
        <v>0</v>
      </c>
      <c r="O762" s="184">
        <v>0</v>
      </c>
      <c r="P762" s="184">
        <v>0</v>
      </c>
      <c r="Q762" s="184">
        <v>0</v>
      </c>
      <c r="R762" s="184">
        <v>0</v>
      </c>
      <c r="S762" s="184">
        <v>0</v>
      </c>
      <c r="T762" s="184">
        <v>0</v>
      </c>
      <c r="U762" s="184">
        <v>0</v>
      </c>
      <c r="V762" s="184">
        <v>0</v>
      </c>
      <c r="W762" s="184">
        <v>0</v>
      </c>
    </row>
    <row r="763" spans="1:23">
      <c r="A763" s="225" t="s">
        <v>50</v>
      </c>
      <c r="B763" s="229" t="s">
        <v>31</v>
      </c>
      <c r="C763" s="15"/>
      <c r="D763" s="375"/>
      <c r="E763" s="250"/>
      <c r="F763" s="250"/>
      <c r="G763" s="250"/>
      <c r="H763" s="250">
        <v>800</v>
      </c>
      <c r="I763" s="400"/>
      <c r="J763" s="15"/>
      <c r="K763" s="27"/>
      <c r="L763" s="25">
        <f>SUM(L764:L766)</f>
        <v>3130.5</v>
      </c>
      <c r="M763" s="25">
        <f t="shared" ref="M763:W763" si="305">SUM(M764:M766)</f>
        <v>3585.2</v>
      </c>
      <c r="N763" s="25">
        <f t="shared" si="305"/>
        <v>3179.2999999999997</v>
      </c>
      <c r="O763" s="25">
        <f t="shared" si="305"/>
        <v>2809.6000000000004</v>
      </c>
      <c r="P763" s="25">
        <f>SUM(P764:P766)</f>
        <v>2809.6000000000004</v>
      </c>
      <c r="Q763" s="25">
        <f t="shared" si="305"/>
        <v>0</v>
      </c>
      <c r="R763" s="25">
        <f t="shared" si="305"/>
        <v>3120.4</v>
      </c>
      <c r="S763" s="25">
        <f t="shared" si="305"/>
        <v>3120.4</v>
      </c>
      <c r="T763" s="25">
        <f t="shared" si="305"/>
        <v>0</v>
      </c>
      <c r="U763" s="25">
        <f t="shared" si="305"/>
        <v>3151.9</v>
      </c>
      <c r="V763" s="25">
        <f t="shared" si="305"/>
        <v>3151.9</v>
      </c>
      <c r="W763" s="25">
        <f t="shared" si="305"/>
        <v>0</v>
      </c>
    </row>
    <row r="764" spans="1:23" ht="48">
      <c r="A764" s="225" t="s">
        <v>51</v>
      </c>
      <c r="B764" s="229" t="s">
        <v>751</v>
      </c>
      <c r="C764" s="15"/>
      <c r="D764" s="375"/>
      <c r="E764" s="226" t="s">
        <v>92</v>
      </c>
      <c r="F764" s="226" t="s">
        <v>83</v>
      </c>
      <c r="G764" s="226" t="s">
        <v>807</v>
      </c>
      <c r="H764" s="250">
        <v>800</v>
      </c>
      <c r="I764" s="109" t="s">
        <v>808</v>
      </c>
      <c r="J764" s="380" t="s">
        <v>809</v>
      </c>
      <c r="K764" s="27"/>
      <c r="L764" s="25">
        <v>333.7</v>
      </c>
      <c r="M764" s="25">
        <v>316.10000000000002</v>
      </c>
      <c r="N764" s="25">
        <v>226.6</v>
      </c>
      <c r="O764" s="25">
        <f>SUM(P764:Q764)</f>
        <v>277.60000000000002</v>
      </c>
      <c r="P764" s="25">
        <v>277.60000000000002</v>
      </c>
      <c r="Q764" s="25">
        <v>0</v>
      </c>
      <c r="R764" s="25">
        <f>SUM(S764:T764)</f>
        <v>275</v>
      </c>
      <c r="S764" s="25">
        <v>275</v>
      </c>
      <c r="T764" s="25">
        <v>0</v>
      </c>
      <c r="U764" s="25">
        <f>SUM(V764:W764)</f>
        <v>277.8</v>
      </c>
      <c r="V764" s="25">
        <v>277.8</v>
      </c>
      <c r="W764" s="25">
        <v>0</v>
      </c>
    </row>
    <row r="765" spans="1:23" ht="48">
      <c r="A765" s="225" t="s">
        <v>72</v>
      </c>
      <c r="B765" s="229" t="s">
        <v>756</v>
      </c>
      <c r="C765" s="121"/>
      <c r="D765" s="218"/>
      <c r="E765" s="260" t="s">
        <v>95</v>
      </c>
      <c r="F765" s="260" t="s">
        <v>97</v>
      </c>
      <c r="G765" s="260" t="s">
        <v>784</v>
      </c>
      <c r="H765" s="250">
        <v>800</v>
      </c>
      <c r="I765" s="109" t="s">
        <v>810</v>
      </c>
      <c r="J765" s="192" t="s">
        <v>811</v>
      </c>
      <c r="K765" s="121"/>
      <c r="L765" s="25">
        <v>8.6</v>
      </c>
      <c r="M765" s="25">
        <v>9.6</v>
      </c>
      <c r="N765" s="25">
        <v>6.1</v>
      </c>
      <c r="O765" s="25">
        <f>SUM(P765:Q765)</f>
        <v>9.6999999999999993</v>
      </c>
      <c r="P765" s="25">
        <v>9.6999999999999993</v>
      </c>
      <c r="Q765" s="25">
        <v>0</v>
      </c>
      <c r="R765" s="25">
        <f>SUM(S765:T765)</f>
        <v>9.6</v>
      </c>
      <c r="S765" s="25">
        <v>9.6</v>
      </c>
      <c r="T765" s="25">
        <v>0</v>
      </c>
      <c r="U765" s="25">
        <f>SUM(V765:W765)</f>
        <v>9.6999999999999993</v>
      </c>
      <c r="V765" s="25">
        <v>9.6999999999999993</v>
      </c>
      <c r="W765" s="25">
        <v>0</v>
      </c>
    </row>
    <row r="766" spans="1:23" ht="36">
      <c r="A766" s="225" t="s">
        <v>171</v>
      </c>
      <c r="B766" s="229" t="s">
        <v>762</v>
      </c>
      <c r="C766" s="121"/>
      <c r="D766" s="218"/>
      <c r="E766" s="226" t="s">
        <v>93</v>
      </c>
      <c r="F766" s="226" t="s">
        <v>82</v>
      </c>
      <c r="G766" s="226" t="s">
        <v>764</v>
      </c>
      <c r="H766" s="250">
        <v>800</v>
      </c>
      <c r="I766" s="109" t="s">
        <v>812</v>
      </c>
      <c r="J766" s="192" t="s">
        <v>813</v>
      </c>
      <c r="K766" s="121"/>
      <c r="L766" s="25">
        <v>2788.2</v>
      </c>
      <c r="M766" s="25">
        <v>3259.5</v>
      </c>
      <c r="N766" s="25">
        <v>2946.6</v>
      </c>
      <c r="O766" s="25">
        <f>SUM(P766:Q766)</f>
        <v>2522.3000000000002</v>
      </c>
      <c r="P766" s="25">
        <v>2522.3000000000002</v>
      </c>
      <c r="Q766" s="25">
        <v>0</v>
      </c>
      <c r="R766" s="25">
        <f>SUM(S766:T766)</f>
        <v>2835.8</v>
      </c>
      <c r="S766" s="25">
        <v>2835.8</v>
      </c>
      <c r="T766" s="25">
        <v>0</v>
      </c>
      <c r="U766" s="25">
        <f>SUM(V766:W766)</f>
        <v>2864.4</v>
      </c>
      <c r="V766" s="25">
        <v>2864.4</v>
      </c>
      <c r="W766" s="25">
        <v>0</v>
      </c>
    </row>
    <row r="767" spans="1:23">
      <c r="A767" s="416" t="s">
        <v>73</v>
      </c>
      <c r="B767" s="416"/>
      <c r="C767" s="416"/>
      <c r="D767" s="416"/>
      <c r="E767" s="416"/>
      <c r="F767" s="416"/>
      <c r="G767" s="416"/>
      <c r="H767" s="416"/>
      <c r="I767" s="416"/>
      <c r="J767" s="416"/>
      <c r="K767" s="416"/>
      <c r="L767" s="28">
        <f>SUM(L768)</f>
        <v>1325.3000000000002</v>
      </c>
      <c r="M767" s="28">
        <f t="shared" ref="M767:W767" si="306">SUM(M768)</f>
        <v>3210.5</v>
      </c>
      <c r="N767" s="28">
        <f t="shared" si="306"/>
        <v>1264.2000000000003</v>
      </c>
      <c r="O767" s="28">
        <f t="shared" si="306"/>
        <v>6369.3000000000011</v>
      </c>
      <c r="P767" s="28">
        <f t="shared" si="306"/>
        <v>6369.3000000000011</v>
      </c>
      <c r="Q767" s="28">
        <f t="shared" si="306"/>
        <v>0</v>
      </c>
      <c r="R767" s="28">
        <f t="shared" si="306"/>
        <v>4248.3999999999996</v>
      </c>
      <c r="S767" s="28">
        <f t="shared" si="306"/>
        <v>4248.3999999999996</v>
      </c>
      <c r="T767" s="28">
        <f t="shared" si="306"/>
        <v>0</v>
      </c>
      <c r="U767" s="28">
        <f t="shared" si="306"/>
        <v>4291</v>
      </c>
      <c r="V767" s="28">
        <f t="shared" si="306"/>
        <v>4291</v>
      </c>
      <c r="W767" s="28">
        <f t="shared" si="306"/>
        <v>0</v>
      </c>
    </row>
    <row r="768" spans="1:23" ht="37.5">
      <c r="A768" s="225" t="s">
        <v>21</v>
      </c>
      <c r="B768" s="229" t="s">
        <v>89</v>
      </c>
      <c r="C768" s="15"/>
      <c r="D768" s="375"/>
      <c r="E768" s="250"/>
      <c r="F768" s="250"/>
      <c r="G768" s="250"/>
      <c r="H768" s="250">
        <v>200</v>
      </c>
      <c r="I768" s="15"/>
      <c r="J768" s="15"/>
      <c r="K768" s="27"/>
      <c r="L768" s="25">
        <f>L769+L770+L774+L776+L777+L778+L779+L780+L781+L782+L775</f>
        <v>1325.3000000000002</v>
      </c>
      <c r="M768" s="25">
        <f t="shared" ref="M768:W768" si="307">M769+M770+M774+M776+M777+M778+M779+M780+M781+M782+M775</f>
        <v>3210.5</v>
      </c>
      <c r="N768" s="25">
        <f t="shared" si="307"/>
        <v>1264.2000000000003</v>
      </c>
      <c r="O768" s="25">
        <f t="shared" si="307"/>
        <v>6369.3000000000011</v>
      </c>
      <c r="P768" s="25">
        <f t="shared" si="307"/>
        <v>6369.3000000000011</v>
      </c>
      <c r="Q768" s="25">
        <f t="shared" si="307"/>
        <v>0</v>
      </c>
      <c r="R768" s="25">
        <f t="shared" si="307"/>
        <v>4248.3999999999996</v>
      </c>
      <c r="S768" s="25">
        <f t="shared" si="307"/>
        <v>4248.3999999999996</v>
      </c>
      <c r="T768" s="25">
        <f t="shared" si="307"/>
        <v>0</v>
      </c>
      <c r="U768" s="25">
        <f t="shared" si="307"/>
        <v>4291</v>
      </c>
      <c r="V768" s="25">
        <f t="shared" si="307"/>
        <v>4291</v>
      </c>
      <c r="W768" s="25">
        <f t="shared" si="307"/>
        <v>0</v>
      </c>
    </row>
    <row r="769" spans="1:23" ht="51">
      <c r="A769" s="225" t="s">
        <v>42</v>
      </c>
      <c r="B769" s="189" t="s">
        <v>1409</v>
      </c>
      <c r="C769" s="15"/>
      <c r="D769" s="375"/>
      <c r="E769" s="226" t="s">
        <v>814</v>
      </c>
      <c r="F769" s="226" t="s">
        <v>815</v>
      </c>
      <c r="G769" s="226" t="s">
        <v>124</v>
      </c>
      <c r="H769" s="250">
        <v>200</v>
      </c>
      <c r="I769" s="400" t="s">
        <v>816</v>
      </c>
      <c r="J769" s="418" t="s">
        <v>594</v>
      </c>
      <c r="K769" s="419"/>
      <c r="L769" s="25">
        <v>311.7</v>
      </c>
      <c r="M769" s="25">
        <v>0</v>
      </c>
      <c r="N769" s="25">
        <v>0</v>
      </c>
      <c r="O769" s="25">
        <f>SUM(P769:Q769)</f>
        <v>0</v>
      </c>
      <c r="P769" s="25">
        <v>0</v>
      </c>
      <c r="Q769" s="25">
        <v>0</v>
      </c>
      <c r="R769" s="25">
        <f>SUM(S769:T769)</f>
        <v>0</v>
      </c>
      <c r="S769" s="25">
        <v>0</v>
      </c>
      <c r="T769" s="25">
        <v>0</v>
      </c>
      <c r="U769" s="25">
        <f>SUM(V769:W769)</f>
        <v>0</v>
      </c>
      <c r="V769" s="25">
        <v>0</v>
      </c>
      <c r="W769" s="25">
        <v>0</v>
      </c>
    </row>
    <row r="770" spans="1:23" ht="31.5">
      <c r="A770" s="403" t="s">
        <v>74</v>
      </c>
      <c r="B770" s="127" t="s">
        <v>817</v>
      </c>
      <c r="C770" s="15"/>
      <c r="D770" s="375"/>
      <c r="E770" s="226"/>
      <c r="F770" s="226"/>
      <c r="G770" s="226"/>
      <c r="H770" s="250"/>
      <c r="I770" s="400"/>
      <c r="J770" s="418"/>
      <c r="K770" s="419"/>
      <c r="L770" s="25">
        <f>L771+L773+L772</f>
        <v>187.5</v>
      </c>
      <c r="M770" s="25">
        <f t="shared" ref="M770:W770" si="308">M771+M773+M772</f>
        <v>782.7</v>
      </c>
      <c r="N770" s="25">
        <f t="shared" si="308"/>
        <v>649.80000000000007</v>
      </c>
      <c r="O770" s="25">
        <f t="shared" si="308"/>
        <v>3005.4</v>
      </c>
      <c r="P770" s="25">
        <f t="shared" si="308"/>
        <v>3005.4</v>
      </c>
      <c r="Q770" s="25">
        <f t="shared" si="308"/>
        <v>0</v>
      </c>
      <c r="R770" s="25">
        <f t="shared" si="308"/>
        <v>915.7</v>
      </c>
      <c r="S770" s="25">
        <f t="shared" si="308"/>
        <v>915.7</v>
      </c>
      <c r="T770" s="25">
        <f t="shared" si="308"/>
        <v>0</v>
      </c>
      <c r="U770" s="25">
        <f t="shared" si="308"/>
        <v>924.7</v>
      </c>
      <c r="V770" s="25">
        <f t="shared" si="308"/>
        <v>924.7</v>
      </c>
      <c r="W770" s="25">
        <f t="shared" si="308"/>
        <v>0</v>
      </c>
    </row>
    <row r="771" spans="1:23" ht="31.5">
      <c r="A771" s="403"/>
      <c r="B771" s="242" t="s">
        <v>818</v>
      </c>
      <c r="C771" s="15"/>
      <c r="D771" s="375"/>
      <c r="E771" s="108" t="s">
        <v>92</v>
      </c>
      <c r="F771" s="108" t="s">
        <v>83</v>
      </c>
      <c r="G771" s="108" t="s">
        <v>819</v>
      </c>
      <c r="H771" s="250">
        <v>200</v>
      </c>
      <c r="I771" s="400" t="s">
        <v>820</v>
      </c>
      <c r="J771" s="418" t="s">
        <v>748</v>
      </c>
      <c r="K771" s="419"/>
      <c r="L771" s="184">
        <v>0</v>
      </c>
      <c r="M771" s="184">
        <v>55.7</v>
      </c>
      <c r="N771" s="184">
        <v>12.9</v>
      </c>
      <c r="O771" s="184">
        <f>SUM(P771:Q771)</f>
        <v>285.7</v>
      </c>
      <c r="P771" s="184">
        <v>285.7</v>
      </c>
      <c r="Q771" s="184">
        <v>0</v>
      </c>
      <c r="R771" s="184">
        <f>SUM(S771:T771)</f>
        <v>283.10000000000002</v>
      </c>
      <c r="S771" s="184">
        <v>283.10000000000002</v>
      </c>
      <c r="T771" s="184">
        <v>0</v>
      </c>
      <c r="U771" s="184">
        <f>SUM(V771:W771)</f>
        <v>285.89999999999998</v>
      </c>
      <c r="V771" s="184">
        <v>285.89999999999998</v>
      </c>
      <c r="W771" s="184">
        <v>0</v>
      </c>
    </row>
    <row r="772" spans="1:23" ht="31.5">
      <c r="A772" s="403"/>
      <c r="B772" s="242" t="s">
        <v>1410</v>
      </c>
      <c r="C772" s="15"/>
      <c r="D772" s="375"/>
      <c r="E772" s="108" t="s">
        <v>92</v>
      </c>
      <c r="F772" s="108" t="s">
        <v>83</v>
      </c>
      <c r="G772" s="108" t="s">
        <v>1411</v>
      </c>
      <c r="H772" s="250">
        <v>200</v>
      </c>
      <c r="I772" s="400"/>
      <c r="J772" s="418"/>
      <c r="K772" s="419"/>
      <c r="L772" s="184">
        <v>0</v>
      </c>
      <c r="M772" s="184">
        <v>515</v>
      </c>
      <c r="N772" s="184">
        <v>484.1</v>
      </c>
      <c r="O772" s="184">
        <f>P772</f>
        <v>2533.5</v>
      </c>
      <c r="P772" s="184">
        <v>2533.5</v>
      </c>
      <c r="Q772" s="184">
        <v>0</v>
      </c>
      <c r="R772" s="184">
        <f>S772</f>
        <v>448.1</v>
      </c>
      <c r="S772" s="184">
        <v>448.1</v>
      </c>
      <c r="T772" s="184">
        <v>0</v>
      </c>
      <c r="U772" s="184">
        <f t="shared" ref="U772:U776" si="309">V772</f>
        <v>452.5</v>
      </c>
      <c r="V772" s="184">
        <v>452.5</v>
      </c>
      <c r="W772" s="184">
        <v>0</v>
      </c>
    </row>
    <row r="773" spans="1:23" ht="44.25">
      <c r="A773" s="403"/>
      <c r="B773" s="242" t="s">
        <v>1412</v>
      </c>
      <c r="C773" s="15"/>
      <c r="D773" s="375"/>
      <c r="E773" s="108" t="s">
        <v>92</v>
      </c>
      <c r="F773" s="108" t="s">
        <v>83</v>
      </c>
      <c r="G773" s="108" t="s">
        <v>821</v>
      </c>
      <c r="H773" s="250">
        <v>200</v>
      </c>
      <c r="I773" s="400"/>
      <c r="J773" s="418"/>
      <c r="K773" s="419"/>
      <c r="L773" s="184">
        <v>187.5</v>
      </c>
      <c r="M773" s="184">
        <v>212</v>
      </c>
      <c r="N773" s="184">
        <v>152.80000000000001</v>
      </c>
      <c r="O773" s="184">
        <f>P773+Q773</f>
        <v>186.2</v>
      </c>
      <c r="P773" s="184">
        <v>186.2</v>
      </c>
      <c r="Q773" s="184">
        <v>0</v>
      </c>
      <c r="R773" s="184">
        <f>S773</f>
        <v>184.5</v>
      </c>
      <c r="S773" s="184">
        <v>184.5</v>
      </c>
      <c r="T773" s="184">
        <v>0</v>
      </c>
      <c r="U773" s="184">
        <f t="shared" si="309"/>
        <v>186.3</v>
      </c>
      <c r="V773" s="184">
        <v>186.3</v>
      </c>
      <c r="W773" s="184">
        <v>0</v>
      </c>
    </row>
    <row r="774" spans="1:23" ht="57">
      <c r="A774" s="225" t="s">
        <v>77</v>
      </c>
      <c r="B774" s="242" t="s">
        <v>1413</v>
      </c>
      <c r="C774" s="15"/>
      <c r="D774" s="375"/>
      <c r="E774" s="226" t="s">
        <v>822</v>
      </c>
      <c r="F774" s="226" t="s">
        <v>823</v>
      </c>
      <c r="G774" s="226" t="s">
        <v>94</v>
      </c>
      <c r="H774" s="250">
        <v>200</v>
      </c>
      <c r="I774" s="109" t="s">
        <v>824</v>
      </c>
      <c r="J774" s="381" t="s">
        <v>825</v>
      </c>
      <c r="K774" s="382"/>
      <c r="L774" s="25">
        <v>432.5</v>
      </c>
      <c r="M774" s="25">
        <v>1116.2</v>
      </c>
      <c r="N774" s="25">
        <v>236.3</v>
      </c>
      <c r="O774" s="25">
        <f>P774</f>
        <v>2212.6999999999998</v>
      </c>
      <c r="P774" s="25">
        <v>2212.6999999999998</v>
      </c>
      <c r="Q774" s="25">
        <v>0</v>
      </c>
      <c r="R774" s="25">
        <f>S774</f>
        <v>2192.1999999999998</v>
      </c>
      <c r="S774" s="25">
        <v>2192.1999999999998</v>
      </c>
      <c r="T774" s="25">
        <v>0</v>
      </c>
      <c r="U774" s="25">
        <f t="shared" si="309"/>
        <v>2214.3000000000002</v>
      </c>
      <c r="V774" s="25">
        <v>2214.3000000000002</v>
      </c>
      <c r="W774" s="25">
        <v>0</v>
      </c>
    </row>
    <row r="775" spans="1:23" ht="87.75">
      <c r="A775" s="225" t="s">
        <v>1414</v>
      </c>
      <c r="B775" s="190" t="s">
        <v>1415</v>
      </c>
      <c r="C775" s="15"/>
      <c r="D775" s="375"/>
      <c r="E775" s="226" t="s">
        <v>80</v>
      </c>
      <c r="F775" s="226" t="s">
        <v>144</v>
      </c>
      <c r="G775" s="226" t="s">
        <v>862</v>
      </c>
      <c r="H775" s="250">
        <v>200</v>
      </c>
      <c r="I775" s="109"/>
      <c r="J775" s="381"/>
      <c r="K775" s="382"/>
      <c r="L775" s="25">
        <v>12.5</v>
      </c>
      <c r="M775" s="25">
        <v>0</v>
      </c>
      <c r="N775" s="25">
        <v>0</v>
      </c>
      <c r="O775" s="25">
        <f>P775</f>
        <v>0</v>
      </c>
      <c r="P775" s="25">
        <v>0</v>
      </c>
      <c r="Q775" s="25">
        <v>0</v>
      </c>
      <c r="R775" s="25">
        <f>S775</f>
        <v>0</v>
      </c>
      <c r="S775" s="25">
        <v>0</v>
      </c>
      <c r="T775" s="25">
        <v>0</v>
      </c>
      <c r="U775" s="25">
        <f t="shared" si="309"/>
        <v>0</v>
      </c>
      <c r="V775" s="25">
        <v>0</v>
      </c>
      <c r="W775" s="25">
        <v>0</v>
      </c>
    </row>
    <row r="776" spans="1:23" ht="41.25">
      <c r="A776" s="225" t="s">
        <v>826</v>
      </c>
      <c r="B776" s="242" t="s">
        <v>1416</v>
      </c>
      <c r="C776" s="15"/>
      <c r="D776" s="375"/>
      <c r="E776" s="226" t="s">
        <v>93</v>
      </c>
      <c r="F776" s="226" t="s">
        <v>82</v>
      </c>
      <c r="G776" s="226" t="s">
        <v>94</v>
      </c>
      <c r="H776" s="250">
        <v>200</v>
      </c>
      <c r="I776" s="104"/>
      <c r="J776" s="105"/>
      <c r="K776" s="27"/>
      <c r="L776" s="25">
        <v>0</v>
      </c>
      <c r="M776" s="25">
        <v>165</v>
      </c>
      <c r="N776" s="25">
        <v>0</v>
      </c>
      <c r="O776" s="25">
        <f>P776+Q776</f>
        <v>0</v>
      </c>
      <c r="P776" s="25">
        <v>0</v>
      </c>
      <c r="Q776" s="25">
        <v>0</v>
      </c>
      <c r="R776" s="25">
        <f>S776+T776</f>
        <v>0</v>
      </c>
      <c r="S776" s="25">
        <v>0</v>
      </c>
      <c r="T776" s="25">
        <v>0</v>
      </c>
      <c r="U776" s="25">
        <f t="shared" si="309"/>
        <v>0</v>
      </c>
      <c r="V776" s="25">
        <v>0</v>
      </c>
      <c r="W776" s="25">
        <v>0</v>
      </c>
    </row>
    <row r="777" spans="1:23" ht="38.25">
      <c r="A777" s="225" t="s">
        <v>827</v>
      </c>
      <c r="B777" s="189" t="s">
        <v>1417</v>
      </c>
      <c r="C777" s="15"/>
      <c r="D777" s="375"/>
      <c r="E777" s="226" t="s">
        <v>93</v>
      </c>
      <c r="F777" s="226" t="s">
        <v>82</v>
      </c>
      <c r="G777" s="226" t="s">
        <v>1051</v>
      </c>
      <c r="H777" s="250">
        <v>200</v>
      </c>
      <c r="I777" s="109"/>
      <c r="J777" s="109"/>
      <c r="K777" s="27"/>
      <c r="L777" s="25">
        <v>0</v>
      </c>
      <c r="M777" s="25">
        <v>358</v>
      </c>
      <c r="N777" s="25">
        <v>36.700000000000003</v>
      </c>
      <c r="O777" s="25">
        <f>P777</f>
        <v>259.10000000000002</v>
      </c>
      <c r="P777" s="25">
        <v>259.10000000000002</v>
      </c>
      <c r="Q777" s="25">
        <v>0</v>
      </c>
      <c r="R777" s="25">
        <f>S777</f>
        <v>256.7</v>
      </c>
      <c r="S777" s="25">
        <v>256.7</v>
      </c>
      <c r="T777" s="25">
        <v>0</v>
      </c>
      <c r="U777" s="25">
        <f>V777</f>
        <v>259.3</v>
      </c>
      <c r="V777" s="25">
        <v>259.3</v>
      </c>
      <c r="W777" s="25">
        <v>0</v>
      </c>
    </row>
    <row r="778" spans="1:23" ht="84">
      <c r="A778" s="225" t="s">
        <v>828</v>
      </c>
      <c r="B778" s="242" t="s">
        <v>1080</v>
      </c>
      <c r="C778" s="15"/>
      <c r="D778" s="375"/>
      <c r="E778" s="226" t="s">
        <v>146</v>
      </c>
      <c r="F778" s="226" t="s">
        <v>146</v>
      </c>
      <c r="G778" s="226" t="s">
        <v>554</v>
      </c>
      <c r="H778" s="250">
        <v>200</v>
      </c>
      <c r="I778" s="109" t="s">
        <v>829</v>
      </c>
      <c r="J778" s="104" t="s">
        <v>830</v>
      </c>
      <c r="K778" s="27"/>
      <c r="L778" s="25">
        <v>15.8</v>
      </c>
      <c r="M778" s="25">
        <v>19.7</v>
      </c>
      <c r="N778" s="25">
        <v>0</v>
      </c>
      <c r="O778" s="25">
        <f>P778+Q778</f>
        <v>17.600000000000001</v>
      </c>
      <c r="P778" s="25">
        <v>17.600000000000001</v>
      </c>
      <c r="Q778" s="25">
        <v>0</v>
      </c>
      <c r="R778" s="25">
        <f>S778+T778</f>
        <v>17.399999999999999</v>
      </c>
      <c r="S778" s="25">
        <v>17.399999999999999</v>
      </c>
      <c r="T778" s="25">
        <v>0</v>
      </c>
      <c r="U778" s="25">
        <f>V778+W778</f>
        <v>17.600000000000001</v>
      </c>
      <c r="V778" s="25">
        <v>17.600000000000001</v>
      </c>
      <c r="W778" s="25">
        <v>0</v>
      </c>
    </row>
    <row r="779" spans="1:23" ht="132">
      <c r="A779" s="225" t="s">
        <v>831</v>
      </c>
      <c r="B779" s="242" t="s">
        <v>1081</v>
      </c>
      <c r="C779" s="15"/>
      <c r="D779" s="375"/>
      <c r="E779" s="226" t="s">
        <v>451</v>
      </c>
      <c r="F779" s="226" t="s">
        <v>93</v>
      </c>
      <c r="G779" s="226" t="s">
        <v>452</v>
      </c>
      <c r="H779" s="250">
        <v>200</v>
      </c>
      <c r="I779" s="104" t="s">
        <v>1418</v>
      </c>
      <c r="J779" s="104" t="s">
        <v>832</v>
      </c>
      <c r="K779" s="27"/>
      <c r="L779" s="25">
        <v>14.2</v>
      </c>
      <c r="M779" s="25">
        <v>16.8</v>
      </c>
      <c r="N779" s="25">
        <v>10.199999999999999</v>
      </c>
      <c r="O779" s="25">
        <f>P779+Q779</f>
        <v>170.2</v>
      </c>
      <c r="P779" s="25">
        <v>170.2</v>
      </c>
      <c r="Q779" s="25">
        <v>0</v>
      </c>
      <c r="R779" s="25">
        <f>S779+T779</f>
        <v>168.6</v>
      </c>
      <c r="S779" s="25">
        <v>168.6</v>
      </c>
      <c r="T779" s="25">
        <v>0</v>
      </c>
      <c r="U779" s="25">
        <f>V779+W779</f>
        <v>170.3</v>
      </c>
      <c r="V779" s="25">
        <v>170.3</v>
      </c>
      <c r="W779" s="25">
        <v>0</v>
      </c>
    </row>
    <row r="780" spans="1:23" ht="38.25">
      <c r="A780" s="225" t="s">
        <v>833</v>
      </c>
      <c r="B780" s="189" t="s">
        <v>1419</v>
      </c>
      <c r="C780" s="15"/>
      <c r="D780" s="375"/>
      <c r="E780" s="226" t="s">
        <v>80</v>
      </c>
      <c r="F780" s="226" t="s">
        <v>144</v>
      </c>
      <c r="G780" s="226" t="s">
        <v>562</v>
      </c>
      <c r="H780" s="250">
        <v>200</v>
      </c>
      <c r="I780" s="400" t="s">
        <v>834</v>
      </c>
      <c r="J780" s="405" t="s">
        <v>835</v>
      </c>
      <c r="K780" s="419"/>
      <c r="L780" s="25">
        <v>17.7</v>
      </c>
      <c r="M780" s="25">
        <v>30.3</v>
      </c>
      <c r="N780" s="25">
        <v>17.600000000000001</v>
      </c>
      <c r="O780" s="25">
        <f>P780+Q780</f>
        <v>26.6</v>
      </c>
      <c r="P780" s="25">
        <v>26.6</v>
      </c>
      <c r="Q780" s="25">
        <v>0</v>
      </c>
      <c r="R780" s="25">
        <f>S780+T780</f>
        <v>26.4</v>
      </c>
      <c r="S780" s="25">
        <v>26.4</v>
      </c>
      <c r="T780" s="25">
        <v>0</v>
      </c>
      <c r="U780" s="25">
        <f>V780+W780</f>
        <v>26.6</v>
      </c>
      <c r="V780" s="25">
        <v>26.6</v>
      </c>
      <c r="W780" s="25">
        <v>0</v>
      </c>
    </row>
    <row r="781" spans="1:23" ht="51">
      <c r="A781" s="225" t="s">
        <v>836</v>
      </c>
      <c r="B781" s="189" t="s">
        <v>1420</v>
      </c>
      <c r="C781" s="15"/>
      <c r="D781" s="375"/>
      <c r="E781" s="226" t="s">
        <v>80</v>
      </c>
      <c r="F781" s="226" t="s">
        <v>144</v>
      </c>
      <c r="G781" s="226" t="s">
        <v>579</v>
      </c>
      <c r="H781" s="250">
        <v>200</v>
      </c>
      <c r="I781" s="400"/>
      <c r="J781" s="405"/>
      <c r="K781" s="419"/>
      <c r="L781" s="25">
        <v>0</v>
      </c>
      <c r="M781" s="25">
        <v>28.2</v>
      </c>
      <c r="N781" s="25">
        <v>0</v>
      </c>
      <c r="O781" s="25">
        <f>P781+Q781</f>
        <v>36.5</v>
      </c>
      <c r="P781" s="25">
        <v>36.5</v>
      </c>
      <c r="Q781" s="25">
        <v>0</v>
      </c>
      <c r="R781" s="25">
        <f>S781+T781</f>
        <v>36.200000000000003</v>
      </c>
      <c r="S781" s="25">
        <v>36.200000000000003</v>
      </c>
      <c r="T781" s="25">
        <v>0</v>
      </c>
      <c r="U781" s="25">
        <f>V781+W781</f>
        <v>36.5</v>
      </c>
      <c r="V781" s="25">
        <v>36.5</v>
      </c>
      <c r="W781" s="25">
        <v>0</v>
      </c>
    </row>
    <row r="782" spans="1:23" ht="38.25">
      <c r="A782" s="225" t="s">
        <v>837</v>
      </c>
      <c r="B782" s="191" t="s">
        <v>1421</v>
      </c>
      <c r="C782" s="15"/>
      <c r="D782" s="375"/>
      <c r="E782" s="226" t="s">
        <v>80</v>
      </c>
      <c r="F782" s="226" t="s">
        <v>144</v>
      </c>
      <c r="G782" s="226" t="s">
        <v>838</v>
      </c>
      <c r="H782" s="250">
        <v>200</v>
      </c>
      <c r="I782" s="400"/>
      <c r="J782" s="405"/>
      <c r="K782" s="419"/>
      <c r="L782" s="25">
        <v>333.4</v>
      </c>
      <c r="M782" s="25">
        <v>693.6</v>
      </c>
      <c r="N782" s="25">
        <v>313.60000000000002</v>
      </c>
      <c r="O782" s="25">
        <f>P782</f>
        <v>641.20000000000005</v>
      </c>
      <c r="P782" s="25">
        <v>641.20000000000005</v>
      </c>
      <c r="Q782" s="25">
        <v>0</v>
      </c>
      <c r="R782" s="25">
        <f>S782</f>
        <v>635.20000000000005</v>
      </c>
      <c r="S782" s="25">
        <v>635.20000000000005</v>
      </c>
      <c r="T782" s="25">
        <v>0</v>
      </c>
      <c r="U782" s="25">
        <f>V782</f>
        <v>641.70000000000005</v>
      </c>
      <c r="V782" s="25">
        <v>641.70000000000005</v>
      </c>
      <c r="W782" s="25">
        <v>0</v>
      </c>
    </row>
    <row r="783" spans="1:23">
      <c r="A783" s="411" t="s">
        <v>75</v>
      </c>
      <c r="B783" s="411"/>
      <c r="C783" s="411"/>
      <c r="D783" s="411"/>
      <c r="E783" s="411"/>
      <c r="F783" s="411"/>
      <c r="G783" s="411"/>
      <c r="H783" s="411"/>
      <c r="I783" s="411"/>
      <c r="J783" s="411"/>
      <c r="K783" s="411"/>
      <c r="L783" s="28">
        <f t="shared" ref="L783:W783" si="310">SUM(L784,L790)</f>
        <v>15436.4</v>
      </c>
      <c r="M783" s="28">
        <f t="shared" si="310"/>
        <v>28194</v>
      </c>
      <c r="N783" s="28">
        <f t="shared" si="310"/>
        <v>13517.6</v>
      </c>
      <c r="O783" s="28">
        <f t="shared" si="310"/>
        <v>44765.9</v>
      </c>
      <c r="P783" s="28">
        <f t="shared" si="310"/>
        <v>44765.9</v>
      </c>
      <c r="Q783" s="28">
        <f t="shared" si="310"/>
        <v>0</v>
      </c>
      <c r="R783" s="28">
        <f t="shared" si="310"/>
        <v>44427.5</v>
      </c>
      <c r="S783" s="28">
        <f t="shared" si="310"/>
        <v>44427.5</v>
      </c>
      <c r="T783" s="28">
        <f t="shared" si="310"/>
        <v>0</v>
      </c>
      <c r="U783" s="28">
        <f t="shared" si="310"/>
        <v>44799.399999999994</v>
      </c>
      <c r="V783" s="28">
        <f t="shared" si="310"/>
        <v>44799.399999999994</v>
      </c>
      <c r="W783" s="28">
        <f t="shared" si="310"/>
        <v>0</v>
      </c>
    </row>
    <row r="784" spans="1:23">
      <c r="A784" s="416" t="s">
        <v>36</v>
      </c>
      <c r="B784" s="416"/>
      <c r="C784" s="416"/>
      <c r="D784" s="416"/>
      <c r="E784" s="416"/>
      <c r="F784" s="416"/>
      <c r="G784" s="416"/>
      <c r="H784" s="416"/>
      <c r="I784" s="416"/>
      <c r="J784" s="416"/>
      <c r="K784" s="416"/>
      <c r="L784" s="22">
        <f t="shared" ref="L784:W784" si="311">SUM(L785,L788)</f>
        <v>4800.6000000000004</v>
      </c>
      <c r="M784" s="22">
        <f t="shared" si="311"/>
        <v>17635.3</v>
      </c>
      <c r="N784" s="22">
        <f t="shared" si="311"/>
        <v>7127.6</v>
      </c>
      <c r="O784" s="22">
        <f t="shared" si="311"/>
        <v>32748.799999999999</v>
      </c>
      <c r="P784" s="22">
        <f t="shared" si="311"/>
        <v>32748.799999999999</v>
      </c>
      <c r="Q784" s="22">
        <f t="shared" si="311"/>
        <v>0</v>
      </c>
      <c r="R784" s="22">
        <f t="shared" si="311"/>
        <v>32521.8</v>
      </c>
      <c r="S784" s="22">
        <f t="shared" si="311"/>
        <v>32521.8</v>
      </c>
      <c r="T784" s="22">
        <f t="shared" si="311"/>
        <v>0</v>
      </c>
      <c r="U784" s="22">
        <f t="shared" si="311"/>
        <v>32773.599999999999</v>
      </c>
      <c r="V784" s="22">
        <f t="shared" si="311"/>
        <v>32773.599999999999</v>
      </c>
      <c r="W784" s="22">
        <f t="shared" si="311"/>
        <v>0</v>
      </c>
    </row>
    <row r="785" spans="1:23" ht="78.75">
      <c r="A785" s="269" t="s">
        <v>33</v>
      </c>
      <c r="B785" s="242" t="s">
        <v>90</v>
      </c>
      <c r="C785" s="115"/>
      <c r="D785" s="383"/>
      <c r="E785" s="250"/>
      <c r="F785" s="250"/>
      <c r="G785" s="250"/>
      <c r="H785" s="250">
        <v>600</v>
      </c>
      <c r="I785" s="15"/>
      <c r="J785" s="115"/>
      <c r="K785" s="14"/>
      <c r="L785" s="25">
        <f t="shared" ref="L785:W785" si="312">SUM(L786:L787)</f>
        <v>4735.5</v>
      </c>
      <c r="M785" s="25">
        <f t="shared" si="312"/>
        <v>17635.3</v>
      </c>
      <c r="N785" s="25">
        <f t="shared" si="312"/>
        <v>7127.6</v>
      </c>
      <c r="O785" s="25">
        <f t="shared" si="312"/>
        <v>32748.799999999999</v>
      </c>
      <c r="P785" s="25">
        <f t="shared" si="312"/>
        <v>32748.799999999999</v>
      </c>
      <c r="Q785" s="25">
        <f t="shared" si="312"/>
        <v>0</v>
      </c>
      <c r="R785" s="25">
        <f t="shared" si="312"/>
        <v>32521.8</v>
      </c>
      <c r="S785" s="25">
        <f t="shared" si="312"/>
        <v>32521.8</v>
      </c>
      <c r="T785" s="25">
        <f t="shared" si="312"/>
        <v>0</v>
      </c>
      <c r="U785" s="25">
        <f t="shared" si="312"/>
        <v>32773.599999999999</v>
      </c>
      <c r="V785" s="25">
        <f t="shared" si="312"/>
        <v>32773.599999999999</v>
      </c>
      <c r="W785" s="25">
        <f t="shared" si="312"/>
        <v>0</v>
      </c>
    </row>
    <row r="786" spans="1:23" ht="372">
      <c r="A786" s="269" t="s">
        <v>43</v>
      </c>
      <c r="B786" s="229" t="s">
        <v>839</v>
      </c>
      <c r="C786" s="192" t="s">
        <v>840</v>
      </c>
      <c r="D786" s="383"/>
      <c r="E786" s="226" t="s">
        <v>92</v>
      </c>
      <c r="F786" s="226" t="s">
        <v>83</v>
      </c>
      <c r="G786" s="226" t="s">
        <v>841</v>
      </c>
      <c r="H786" s="250">
        <v>611</v>
      </c>
      <c r="I786" s="104" t="s">
        <v>842</v>
      </c>
      <c r="J786" s="106" t="s">
        <v>843</v>
      </c>
      <c r="K786" s="14"/>
      <c r="L786" s="25">
        <v>4735.5</v>
      </c>
      <c r="M786" s="25">
        <v>5095</v>
      </c>
      <c r="N786" s="25">
        <v>3330</v>
      </c>
      <c r="O786" s="25">
        <f>SUM(P786:Q786)</f>
        <v>6590</v>
      </c>
      <c r="P786" s="25">
        <v>6590</v>
      </c>
      <c r="Q786" s="25">
        <v>0</v>
      </c>
      <c r="R786" s="25">
        <f>SUM(S786:T786)</f>
        <v>6529</v>
      </c>
      <c r="S786" s="25">
        <v>6529</v>
      </c>
      <c r="T786" s="25">
        <v>0</v>
      </c>
      <c r="U786" s="25">
        <f>SUM(V786:W786)</f>
        <v>6594.8</v>
      </c>
      <c r="V786" s="25">
        <v>6594.8</v>
      </c>
      <c r="W786" s="25">
        <v>0</v>
      </c>
    </row>
    <row r="787" spans="1:23" ht="101.25">
      <c r="A787" s="253" t="s">
        <v>76</v>
      </c>
      <c r="B787" s="229" t="s">
        <v>1422</v>
      </c>
      <c r="C787" s="192" t="s">
        <v>1423</v>
      </c>
      <c r="D787" s="383"/>
      <c r="E787" s="250">
        <v>12</v>
      </c>
      <c r="F787" s="226" t="s">
        <v>143</v>
      </c>
      <c r="G787" s="250" t="s">
        <v>1424</v>
      </c>
      <c r="H787" s="250">
        <v>611</v>
      </c>
      <c r="I787" s="60" t="s">
        <v>1425</v>
      </c>
      <c r="J787" s="193" t="s">
        <v>1426</v>
      </c>
      <c r="K787" s="14"/>
      <c r="L787" s="25">
        <v>0</v>
      </c>
      <c r="M787" s="25">
        <v>12540.3</v>
      </c>
      <c r="N787" s="25">
        <v>3797.6</v>
      </c>
      <c r="O787" s="25">
        <f>SUM(P787:Q787)</f>
        <v>26158.799999999999</v>
      </c>
      <c r="P787" s="25">
        <v>26158.799999999999</v>
      </c>
      <c r="Q787" s="25">
        <v>0</v>
      </c>
      <c r="R787" s="25">
        <f>SUM(S787:T787)</f>
        <v>25992.799999999999</v>
      </c>
      <c r="S787" s="25">
        <v>25992.799999999999</v>
      </c>
      <c r="T787" s="25">
        <v>0</v>
      </c>
      <c r="U787" s="25">
        <f>SUM(V787:W787)</f>
        <v>26178.799999999999</v>
      </c>
      <c r="V787" s="25">
        <v>26178.799999999999</v>
      </c>
      <c r="W787" s="25">
        <v>0</v>
      </c>
    </row>
    <row r="788" spans="1:23" ht="37.5">
      <c r="A788" s="269" t="s">
        <v>34</v>
      </c>
      <c r="B788" s="230" t="s">
        <v>35</v>
      </c>
      <c r="C788" s="115"/>
      <c r="D788" s="383"/>
      <c r="E788" s="250"/>
      <c r="F788" s="250"/>
      <c r="G788" s="250"/>
      <c r="H788" s="250">
        <v>600</v>
      </c>
      <c r="I788" s="15"/>
      <c r="J788" s="115"/>
      <c r="K788" s="14"/>
      <c r="L788" s="25">
        <f t="shared" ref="L788:W788" si="313">SUM(L789:L789)</f>
        <v>65.099999999999994</v>
      </c>
      <c r="M788" s="25">
        <f t="shared" si="313"/>
        <v>0</v>
      </c>
      <c r="N788" s="25">
        <f t="shared" si="313"/>
        <v>0</v>
      </c>
      <c r="O788" s="25">
        <f t="shared" si="313"/>
        <v>0</v>
      </c>
      <c r="P788" s="25">
        <f t="shared" si="313"/>
        <v>0</v>
      </c>
      <c r="Q788" s="25">
        <f t="shared" si="313"/>
        <v>0</v>
      </c>
      <c r="R788" s="25">
        <f t="shared" si="313"/>
        <v>0</v>
      </c>
      <c r="S788" s="25">
        <f t="shared" si="313"/>
        <v>0</v>
      </c>
      <c r="T788" s="25">
        <f t="shared" si="313"/>
        <v>0</v>
      </c>
      <c r="U788" s="25">
        <f t="shared" si="313"/>
        <v>0</v>
      </c>
      <c r="V788" s="25">
        <f t="shared" si="313"/>
        <v>0</v>
      </c>
      <c r="W788" s="25">
        <f t="shared" si="313"/>
        <v>0</v>
      </c>
    </row>
    <row r="789" spans="1:23" ht="360">
      <c r="A789" s="269" t="s">
        <v>44</v>
      </c>
      <c r="B789" s="229" t="s">
        <v>1427</v>
      </c>
      <c r="C789" s="192" t="s">
        <v>845</v>
      </c>
      <c r="D789" s="383"/>
      <c r="E789" s="226" t="s">
        <v>743</v>
      </c>
      <c r="F789" s="226" t="s">
        <v>846</v>
      </c>
      <c r="G789" s="226" t="s">
        <v>1428</v>
      </c>
      <c r="H789" s="250">
        <v>612</v>
      </c>
      <c r="I789" s="104" t="s">
        <v>847</v>
      </c>
      <c r="J789" s="106" t="s">
        <v>848</v>
      </c>
      <c r="K789" s="386"/>
      <c r="L789" s="25">
        <v>65.099999999999994</v>
      </c>
      <c r="M789" s="25">
        <v>0</v>
      </c>
      <c r="N789" s="25">
        <v>0</v>
      </c>
      <c r="O789" s="25">
        <f>SUM(P789:Q789)</f>
        <v>0</v>
      </c>
      <c r="P789" s="25">
        <v>0</v>
      </c>
      <c r="Q789" s="25">
        <v>0</v>
      </c>
      <c r="R789" s="25">
        <f>SUM(S789:T789)</f>
        <v>0</v>
      </c>
      <c r="S789" s="25">
        <v>0</v>
      </c>
      <c r="T789" s="25">
        <v>0</v>
      </c>
      <c r="U789" s="25">
        <f>SUM(V789:W789)</f>
        <v>0</v>
      </c>
      <c r="V789" s="25">
        <v>0</v>
      </c>
      <c r="W789" s="25">
        <v>0</v>
      </c>
    </row>
    <row r="790" spans="1:23">
      <c r="A790" s="416" t="s">
        <v>37</v>
      </c>
      <c r="B790" s="416"/>
      <c r="C790" s="416"/>
      <c r="D790" s="416"/>
      <c r="E790" s="416"/>
      <c r="F790" s="416"/>
      <c r="G790" s="416"/>
      <c r="H790" s="416"/>
      <c r="I790" s="416"/>
      <c r="J790" s="416"/>
      <c r="K790" s="416"/>
      <c r="L790" s="22">
        <f t="shared" ref="L790:W790" si="314">SUM(L791,L793)</f>
        <v>10635.8</v>
      </c>
      <c r="M790" s="22">
        <f t="shared" si="314"/>
        <v>10558.7</v>
      </c>
      <c r="N790" s="22">
        <f t="shared" si="314"/>
        <v>6390</v>
      </c>
      <c r="O790" s="22">
        <f t="shared" si="314"/>
        <v>12017.1</v>
      </c>
      <c r="P790" s="22">
        <f t="shared" si="314"/>
        <v>12017.1</v>
      </c>
      <c r="Q790" s="22">
        <f t="shared" si="314"/>
        <v>0</v>
      </c>
      <c r="R790" s="22">
        <f t="shared" si="314"/>
        <v>11905.7</v>
      </c>
      <c r="S790" s="22">
        <f t="shared" si="314"/>
        <v>11905.7</v>
      </c>
      <c r="T790" s="22">
        <f t="shared" si="314"/>
        <v>0</v>
      </c>
      <c r="U790" s="22">
        <f t="shared" si="314"/>
        <v>12025.8</v>
      </c>
      <c r="V790" s="22">
        <f t="shared" si="314"/>
        <v>12025.8</v>
      </c>
      <c r="W790" s="22">
        <f t="shared" si="314"/>
        <v>0</v>
      </c>
    </row>
    <row r="791" spans="1:23" ht="63">
      <c r="A791" s="269" t="s">
        <v>38</v>
      </c>
      <c r="B791" s="242" t="s">
        <v>78</v>
      </c>
      <c r="C791" s="115"/>
      <c r="D791" s="383"/>
      <c r="E791" s="250"/>
      <c r="F791" s="250"/>
      <c r="G791" s="250"/>
      <c r="H791" s="250">
        <v>600</v>
      </c>
      <c r="I791" s="15"/>
      <c r="J791" s="115"/>
      <c r="K791" s="14"/>
      <c r="L791" s="25">
        <f t="shared" ref="L791:W791" si="315">SUM(L792:L792)</f>
        <v>9034</v>
      </c>
      <c r="M791" s="25">
        <f t="shared" si="315"/>
        <v>10033.700000000001</v>
      </c>
      <c r="N791" s="25">
        <f t="shared" si="315"/>
        <v>6340</v>
      </c>
      <c r="O791" s="25">
        <f t="shared" si="315"/>
        <v>11600</v>
      </c>
      <c r="P791" s="25">
        <f t="shared" si="315"/>
        <v>11600</v>
      </c>
      <c r="Q791" s="25">
        <f t="shared" si="315"/>
        <v>0</v>
      </c>
      <c r="R791" s="25">
        <f t="shared" si="315"/>
        <v>11492.5</v>
      </c>
      <c r="S791" s="25">
        <f t="shared" si="315"/>
        <v>11492.5</v>
      </c>
      <c r="T791" s="25">
        <f t="shared" si="315"/>
        <v>0</v>
      </c>
      <c r="U791" s="25">
        <f t="shared" si="315"/>
        <v>11608.4</v>
      </c>
      <c r="V791" s="25">
        <f t="shared" si="315"/>
        <v>11608.4</v>
      </c>
      <c r="W791" s="25">
        <f t="shared" si="315"/>
        <v>0</v>
      </c>
    </row>
    <row r="792" spans="1:23" ht="228">
      <c r="A792" s="269" t="s">
        <v>45</v>
      </c>
      <c r="B792" s="229" t="s">
        <v>849</v>
      </c>
      <c r="C792" s="99" t="s">
        <v>850</v>
      </c>
      <c r="D792" s="388"/>
      <c r="E792" s="226" t="s">
        <v>93</v>
      </c>
      <c r="F792" s="226" t="s">
        <v>82</v>
      </c>
      <c r="G792" s="226" t="s">
        <v>851</v>
      </c>
      <c r="H792" s="250">
        <v>621</v>
      </c>
      <c r="I792" s="104" t="s">
        <v>852</v>
      </c>
      <c r="J792" s="192" t="s">
        <v>853</v>
      </c>
      <c r="K792" s="14"/>
      <c r="L792" s="25">
        <v>9034</v>
      </c>
      <c r="M792" s="25">
        <v>10033.700000000001</v>
      </c>
      <c r="N792" s="25">
        <v>6340</v>
      </c>
      <c r="O792" s="25">
        <f>SUM(P792:Q792)</f>
        <v>11600</v>
      </c>
      <c r="P792" s="25">
        <v>11600</v>
      </c>
      <c r="Q792" s="25">
        <v>0</v>
      </c>
      <c r="R792" s="25">
        <f>SUM(S792:T792)</f>
        <v>11492.5</v>
      </c>
      <c r="S792" s="25">
        <v>11492.5</v>
      </c>
      <c r="T792" s="25">
        <v>0</v>
      </c>
      <c r="U792" s="25">
        <f>SUM(V792:W792)</f>
        <v>11608.4</v>
      </c>
      <c r="V792" s="25">
        <v>11608.4</v>
      </c>
      <c r="W792" s="25">
        <v>0</v>
      </c>
    </row>
    <row r="793" spans="1:23" ht="37.5">
      <c r="A793" s="269" t="s">
        <v>40</v>
      </c>
      <c r="B793" s="230" t="s">
        <v>39</v>
      </c>
      <c r="C793" s="115"/>
      <c r="D793" s="383"/>
      <c r="E793" s="250"/>
      <c r="F793" s="250"/>
      <c r="G793" s="250"/>
      <c r="H793" s="250">
        <v>600</v>
      </c>
      <c r="I793" s="15"/>
      <c r="J793" s="115"/>
      <c r="K793" s="14"/>
      <c r="L793" s="25">
        <f>L794</f>
        <v>1601.8</v>
      </c>
      <c r="M793" s="25">
        <f t="shared" ref="M793:W793" si="316">M794</f>
        <v>525</v>
      </c>
      <c r="N793" s="25">
        <f t="shared" si="316"/>
        <v>50</v>
      </c>
      <c r="O793" s="25">
        <f t="shared" si="316"/>
        <v>417.1</v>
      </c>
      <c r="P793" s="25">
        <f t="shared" si="316"/>
        <v>417.1</v>
      </c>
      <c r="Q793" s="25">
        <f t="shared" si="316"/>
        <v>0</v>
      </c>
      <c r="R793" s="25">
        <f t="shared" si="316"/>
        <v>413.2</v>
      </c>
      <c r="S793" s="25">
        <f t="shared" si="316"/>
        <v>413.2</v>
      </c>
      <c r="T793" s="25">
        <f t="shared" si="316"/>
        <v>0</v>
      </c>
      <c r="U793" s="25">
        <f t="shared" si="316"/>
        <v>417.4</v>
      </c>
      <c r="V793" s="25">
        <f t="shared" si="316"/>
        <v>417.4</v>
      </c>
      <c r="W793" s="25">
        <f t="shared" si="316"/>
        <v>0</v>
      </c>
    </row>
    <row r="794" spans="1:23" ht="37.5">
      <c r="A794" s="407" t="s">
        <v>46</v>
      </c>
      <c r="B794" s="229" t="s">
        <v>854</v>
      </c>
      <c r="C794" s="417" t="s">
        <v>850</v>
      </c>
      <c r="D794" s="406"/>
      <c r="E794" s="226"/>
      <c r="F794" s="226"/>
      <c r="G794" s="226"/>
      <c r="H794" s="250"/>
      <c r="I794" s="400" t="s">
        <v>855</v>
      </c>
      <c r="J794" s="405" t="s">
        <v>856</v>
      </c>
      <c r="K794" s="406"/>
      <c r="L794" s="25">
        <f>L795+L797+L796</f>
        <v>1601.8</v>
      </c>
      <c r="M794" s="25">
        <f t="shared" ref="M794:W794" si="317">M795+M797+M796</f>
        <v>525</v>
      </c>
      <c r="N794" s="25">
        <f t="shared" si="317"/>
        <v>50</v>
      </c>
      <c r="O794" s="25">
        <f t="shared" si="317"/>
        <v>417.1</v>
      </c>
      <c r="P794" s="25">
        <f t="shared" si="317"/>
        <v>417.1</v>
      </c>
      <c r="Q794" s="25">
        <f t="shared" si="317"/>
        <v>0</v>
      </c>
      <c r="R794" s="25">
        <f t="shared" si="317"/>
        <v>413.2</v>
      </c>
      <c r="S794" s="25">
        <f t="shared" si="317"/>
        <v>413.2</v>
      </c>
      <c r="T794" s="25">
        <f t="shared" si="317"/>
        <v>0</v>
      </c>
      <c r="U794" s="25">
        <f t="shared" si="317"/>
        <v>417.4</v>
      </c>
      <c r="V794" s="25">
        <f t="shared" si="317"/>
        <v>417.4</v>
      </c>
      <c r="W794" s="25">
        <f t="shared" si="317"/>
        <v>0</v>
      </c>
    </row>
    <row r="795" spans="1:23" ht="51">
      <c r="A795" s="407"/>
      <c r="B795" s="189" t="s">
        <v>1429</v>
      </c>
      <c r="C795" s="417"/>
      <c r="D795" s="406"/>
      <c r="E795" s="108" t="s">
        <v>93</v>
      </c>
      <c r="F795" s="108" t="s">
        <v>82</v>
      </c>
      <c r="G795" s="108" t="s">
        <v>1082</v>
      </c>
      <c r="H795" s="241"/>
      <c r="I795" s="400"/>
      <c r="J795" s="405"/>
      <c r="K795" s="406"/>
      <c r="L795" s="184">
        <v>101.8</v>
      </c>
      <c r="M795" s="184">
        <v>0</v>
      </c>
      <c r="N795" s="184">
        <v>0</v>
      </c>
      <c r="O795" s="25">
        <v>0</v>
      </c>
      <c r="P795" s="25">
        <v>0</v>
      </c>
      <c r="Q795" s="25">
        <v>0</v>
      </c>
      <c r="R795" s="25">
        <v>0</v>
      </c>
      <c r="S795" s="25">
        <v>0</v>
      </c>
      <c r="T795" s="25">
        <v>0</v>
      </c>
      <c r="U795" s="25">
        <v>0</v>
      </c>
      <c r="V795" s="25">
        <v>0</v>
      </c>
      <c r="W795" s="25">
        <v>0</v>
      </c>
    </row>
    <row r="796" spans="1:23">
      <c r="A796" s="407"/>
      <c r="B796" s="190" t="s">
        <v>1083</v>
      </c>
      <c r="C796" s="417"/>
      <c r="D796" s="406"/>
      <c r="E796" s="108" t="s">
        <v>93</v>
      </c>
      <c r="F796" s="108" t="s">
        <v>82</v>
      </c>
      <c r="G796" s="108" t="s">
        <v>1430</v>
      </c>
      <c r="H796" s="241">
        <v>622</v>
      </c>
      <c r="I796" s="400"/>
      <c r="J796" s="405"/>
      <c r="K796" s="406"/>
      <c r="L796" s="184">
        <v>1500</v>
      </c>
      <c r="M796" s="184">
        <v>475</v>
      </c>
      <c r="N796" s="184">
        <v>0</v>
      </c>
      <c r="O796" s="184">
        <f>P796</f>
        <v>417.1</v>
      </c>
      <c r="P796" s="184">
        <v>417.1</v>
      </c>
      <c r="Q796" s="184">
        <v>0</v>
      </c>
      <c r="R796" s="184">
        <f>S796</f>
        <v>413.2</v>
      </c>
      <c r="S796" s="184">
        <v>413.2</v>
      </c>
      <c r="T796" s="184">
        <v>0</v>
      </c>
      <c r="U796" s="184">
        <f>V796</f>
        <v>417.4</v>
      </c>
      <c r="V796" s="184">
        <v>417.4</v>
      </c>
      <c r="W796" s="184">
        <v>0</v>
      </c>
    </row>
    <row r="797" spans="1:23" ht="30.75">
      <c r="A797" s="407"/>
      <c r="B797" s="242" t="s">
        <v>1431</v>
      </c>
      <c r="C797" s="417"/>
      <c r="D797" s="406"/>
      <c r="E797" s="108" t="s">
        <v>93</v>
      </c>
      <c r="F797" s="108" t="s">
        <v>82</v>
      </c>
      <c r="G797" s="108" t="s">
        <v>192</v>
      </c>
      <c r="H797" s="241">
        <v>622</v>
      </c>
      <c r="I797" s="400"/>
      <c r="J797" s="405"/>
      <c r="K797" s="406"/>
      <c r="L797" s="184">
        <v>0</v>
      </c>
      <c r="M797" s="184">
        <v>50</v>
      </c>
      <c r="N797" s="184">
        <v>50</v>
      </c>
      <c r="O797" s="184">
        <v>0</v>
      </c>
      <c r="P797" s="184">
        <v>0</v>
      </c>
      <c r="Q797" s="184">
        <v>0</v>
      </c>
      <c r="R797" s="184">
        <v>0</v>
      </c>
      <c r="S797" s="184">
        <v>0</v>
      </c>
      <c r="T797" s="184">
        <v>0</v>
      </c>
      <c r="U797" s="184">
        <v>0</v>
      </c>
      <c r="V797" s="184">
        <v>0</v>
      </c>
      <c r="W797" s="184">
        <v>0</v>
      </c>
    </row>
    <row r="798" spans="1:23">
      <c r="A798" s="411" t="s">
        <v>163</v>
      </c>
      <c r="B798" s="411"/>
      <c r="C798" s="411"/>
      <c r="D798" s="411"/>
      <c r="E798" s="411"/>
      <c r="F798" s="411"/>
      <c r="G798" s="411"/>
      <c r="H798" s="411"/>
      <c r="I798" s="411"/>
      <c r="J798" s="411"/>
      <c r="K798" s="411"/>
      <c r="L798" s="28">
        <f>L799+L800+L803+L804+L805+L808+L812+L811</f>
        <v>3153.1000000000004</v>
      </c>
      <c r="M798" s="28">
        <f t="shared" ref="M798:W798" si="318">M799+M800+M803+M804+M805+M808+M812+M811</f>
        <v>3004</v>
      </c>
      <c r="N798" s="28">
        <f t="shared" si="318"/>
        <v>1525.1999999999998</v>
      </c>
      <c r="O798" s="28">
        <f t="shared" si="318"/>
        <v>2814</v>
      </c>
      <c r="P798" s="28">
        <f t="shared" si="318"/>
        <v>2814</v>
      </c>
      <c r="Q798" s="28">
        <f t="shared" si="318"/>
        <v>0</v>
      </c>
      <c r="R798" s="28">
        <f t="shared" si="318"/>
        <v>2788</v>
      </c>
      <c r="S798" s="28">
        <f t="shared" si="318"/>
        <v>2788</v>
      </c>
      <c r="T798" s="28">
        <f t="shared" si="318"/>
        <v>0</v>
      </c>
      <c r="U798" s="28">
        <f t="shared" si="318"/>
        <v>2815.9</v>
      </c>
      <c r="V798" s="28">
        <f t="shared" si="318"/>
        <v>2815.9</v>
      </c>
      <c r="W798" s="28">
        <f t="shared" si="318"/>
        <v>0</v>
      </c>
    </row>
    <row r="799" spans="1:23" ht="110.25">
      <c r="A799" s="384" t="s">
        <v>155</v>
      </c>
      <c r="B799" s="127" t="s">
        <v>1432</v>
      </c>
      <c r="C799" s="395" t="s">
        <v>857</v>
      </c>
      <c r="D799" s="383"/>
      <c r="E799" s="108" t="s">
        <v>80</v>
      </c>
      <c r="F799" s="108" t="s">
        <v>144</v>
      </c>
      <c r="G799" s="108" t="s">
        <v>858</v>
      </c>
      <c r="H799" s="250">
        <v>630</v>
      </c>
      <c r="I799" s="412" t="s">
        <v>859</v>
      </c>
      <c r="J799" s="413" t="s">
        <v>860</v>
      </c>
      <c r="K799" s="414"/>
      <c r="L799" s="25">
        <v>50</v>
      </c>
      <c r="M799" s="25">
        <v>50</v>
      </c>
      <c r="N799" s="25">
        <v>50</v>
      </c>
      <c r="O799" s="25">
        <f>SUM(P799:Q799)</f>
        <v>0</v>
      </c>
      <c r="P799" s="25">
        <v>0</v>
      </c>
      <c r="Q799" s="25">
        <v>0</v>
      </c>
      <c r="R799" s="25">
        <f>SUM(S799:T799)</f>
        <v>0</v>
      </c>
      <c r="S799" s="25">
        <v>0</v>
      </c>
      <c r="T799" s="25">
        <v>0</v>
      </c>
      <c r="U799" s="25">
        <f>SUM(V799:W799)</f>
        <v>0</v>
      </c>
      <c r="V799" s="25">
        <v>0</v>
      </c>
      <c r="W799" s="25">
        <v>0</v>
      </c>
    </row>
    <row r="800" spans="1:23" ht="34.5">
      <c r="A800" s="409" t="s">
        <v>863</v>
      </c>
      <c r="B800" s="229" t="s">
        <v>1433</v>
      </c>
      <c r="C800" s="415" t="s">
        <v>864</v>
      </c>
      <c r="D800" s="383"/>
      <c r="E800" s="226"/>
      <c r="F800" s="226"/>
      <c r="G800" s="226"/>
      <c r="H800" s="250">
        <v>630</v>
      </c>
      <c r="I800" s="412"/>
      <c r="J800" s="413"/>
      <c r="K800" s="414"/>
      <c r="L800" s="25">
        <f>L801+L802</f>
        <v>395.5</v>
      </c>
      <c r="M800" s="25">
        <f>M801+M802</f>
        <v>400</v>
      </c>
      <c r="N800" s="25">
        <f>N801+N802</f>
        <v>174.7</v>
      </c>
      <c r="O800" s="25">
        <f t="shared" ref="O800:W800" si="319">O801+O802</f>
        <v>47.6</v>
      </c>
      <c r="P800" s="25">
        <f t="shared" si="319"/>
        <v>47.6</v>
      </c>
      <c r="Q800" s="25">
        <f t="shared" si="319"/>
        <v>0</v>
      </c>
      <c r="R800" s="25">
        <f t="shared" si="319"/>
        <v>47.2</v>
      </c>
      <c r="S800" s="25">
        <f t="shared" si="319"/>
        <v>47.2</v>
      </c>
      <c r="T800" s="25">
        <f t="shared" si="319"/>
        <v>0</v>
      </c>
      <c r="U800" s="25">
        <f t="shared" si="319"/>
        <v>47.6</v>
      </c>
      <c r="V800" s="25">
        <f t="shared" si="319"/>
        <v>47.6</v>
      </c>
      <c r="W800" s="25">
        <f t="shared" si="319"/>
        <v>0</v>
      </c>
    </row>
    <row r="801" spans="1:23" ht="25.5">
      <c r="A801" s="409"/>
      <c r="B801" s="189" t="s">
        <v>861</v>
      </c>
      <c r="C801" s="415"/>
      <c r="D801" s="383"/>
      <c r="E801" s="108" t="s">
        <v>80</v>
      </c>
      <c r="F801" s="108" t="s">
        <v>144</v>
      </c>
      <c r="G801" s="108" t="s">
        <v>865</v>
      </c>
      <c r="H801" s="250"/>
      <c r="I801" s="412"/>
      <c r="J801" s="413"/>
      <c r="K801" s="414"/>
      <c r="L801" s="184">
        <v>345</v>
      </c>
      <c r="M801" s="184">
        <v>348.5</v>
      </c>
      <c r="N801" s="184">
        <v>136.69999999999999</v>
      </c>
      <c r="O801" s="184">
        <v>0</v>
      </c>
      <c r="P801" s="184">
        <v>0</v>
      </c>
      <c r="Q801" s="184">
        <v>0</v>
      </c>
      <c r="R801" s="184">
        <v>0</v>
      </c>
      <c r="S801" s="184">
        <v>0</v>
      </c>
      <c r="T801" s="184">
        <v>0</v>
      </c>
      <c r="U801" s="184">
        <v>0</v>
      </c>
      <c r="V801" s="184">
        <v>0</v>
      </c>
      <c r="W801" s="184">
        <v>0</v>
      </c>
    </row>
    <row r="802" spans="1:23" ht="25.5">
      <c r="A802" s="409"/>
      <c r="B802" s="189" t="s">
        <v>866</v>
      </c>
      <c r="C802" s="415"/>
      <c r="D802" s="383"/>
      <c r="E802" s="108" t="s">
        <v>80</v>
      </c>
      <c r="F802" s="108" t="s">
        <v>144</v>
      </c>
      <c r="G802" s="108" t="s">
        <v>867</v>
      </c>
      <c r="H802" s="250"/>
      <c r="I802" s="412"/>
      <c r="J802" s="413"/>
      <c r="K802" s="414"/>
      <c r="L802" s="184">
        <v>50.5</v>
      </c>
      <c r="M802" s="184">
        <v>51.5</v>
      </c>
      <c r="N802" s="184">
        <v>38</v>
      </c>
      <c r="O802" s="184">
        <f>P802+Q802</f>
        <v>47.6</v>
      </c>
      <c r="P802" s="184">
        <v>47.6</v>
      </c>
      <c r="Q802" s="184">
        <v>0</v>
      </c>
      <c r="R802" s="184">
        <f>S802+T802</f>
        <v>47.2</v>
      </c>
      <c r="S802" s="184">
        <v>47.2</v>
      </c>
      <c r="T802" s="184">
        <v>0</v>
      </c>
      <c r="U802" s="184">
        <f>V802+W802</f>
        <v>47.6</v>
      </c>
      <c r="V802" s="184">
        <v>47.6</v>
      </c>
      <c r="W802" s="184">
        <v>0</v>
      </c>
    </row>
    <row r="803" spans="1:23" ht="63">
      <c r="A803" s="384" t="s">
        <v>868</v>
      </c>
      <c r="B803" s="229" t="s">
        <v>1434</v>
      </c>
      <c r="C803" s="415"/>
      <c r="D803" s="383"/>
      <c r="E803" s="226" t="s">
        <v>80</v>
      </c>
      <c r="F803" s="226" t="s">
        <v>144</v>
      </c>
      <c r="G803" s="226" t="s">
        <v>858</v>
      </c>
      <c r="H803" s="250">
        <v>630</v>
      </c>
      <c r="I803" s="412"/>
      <c r="J803" s="413"/>
      <c r="K803" s="414"/>
      <c r="L803" s="25">
        <v>300</v>
      </c>
      <c r="M803" s="25">
        <v>0</v>
      </c>
      <c r="N803" s="25">
        <v>0</v>
      </c>
      <c r="O803" s="25">
        <v>0</v>
      </c>
      <c r="P803" s="25">
        <v>0</v>
      </c>
      <c r="Q803" s="25">
        <v>0</v>
      </c>
      <c r="R803" s="25">
        <v>0</v>
      </c>
      <c r="S803" s="25">
        <v>0</v>
      </c>
      <c r="T803" s="25">
        <v>0</v>
      </c>
      <c r="U803" s="25">
        <v>0</v>
      </c>
      <c r="V803" s="25">
        <v>0</v>
      </c>
      <c r="W803" s="25">
        <v>0</v>
      </c>
    </row>
    <row r="804" spans="1:23" ht="78.75">
      <c r="A804" s="384" t="s">
        <v>869</v>
      </c>
      <c r="B804" s="242" t="s">
        <v>1084</v>
      </c>
      <c r="C804" s="415"/>
      <c r="D804" s="383"/>
      <c r="E804" s="226" t="s">
        <v>80</v>
      </c>
      <c r="F804" s="226" t="s">
        <v>144</v>
      </c>
      <c r="G804" s="226" t="s">
        <v>858</v>
      </c>
      <c r="H804" s="250">
        <v>630</v>
      </c>
      <c r="I804" s="412"/>
      <c r="J804" s="413"/>
      <c r="K804" s="414"/>
      <c r="L804" s="25">
        <v>52</v>
      </c>
      <c r="M804" s="25">
        <v>55</v>
      </c>
      <c r="N804" s="25">
        <v>35</v>
      </c>
      <c r="O804" s="25">
        <v>0</v>
      </c>
      <c r="P804" s="25">
        <v>0</v>
      </c>
      <c r="Q804" s="25">
        <v>0</v>
      </c>
      <c r="R804" s="25">
        <v>0</v>
      </c>
      <c r="S804" s="25">
        <v>0</v>
      </c>
      <c r="T804" s="25">
        <v>0</v>
      </c>
      <c r="U804" s="25">
        <v>0</v>
      </c>
      <c r="V804" s="25">
        <v>0</v>
      </c>
      <c r="W804" s="25">
        <v>0</v>
      </c>
    </row>
    <row r="805" spans="1:23" ht="34.5">
      <c r="A805" s="409" t="s">
        <v>870</v>
      </c>
      <c r="B805" s="229" t="s">
        <v>1435</v>
      </c>
      <c r="C805" s="415"/>
      <c r="D805" s="383"/>
      <c r="E805" s="226"/>
      <c r="F805" s="226"/>
      <c r="G805" s="226"/>
      <c r="H805" s="250">
        <v>630</v>
      </c>
      <c r="I805" s="412"/>
      <c r="J805" s="413"/>
      <c r="K805" s="414"/>
      <c r="L805" s="25">
        <f>L806+L807</f>
        <v>295</v>
      </c>
      <c r="M805" s="25">
        <f>M806+M807</f>
        <v>250</v>
      </c>
      <c r="N805" s="25">
        <f>N806+N807</f>
        <v>62.9</v>
      </c>
      <c r="O805" s="25">
        <f t="shared" ref="O805:W805" si="320">O806+O807</f>
        <v>58.8</v>
      </c>
      <c r="P805" s="25">
        <f t="shared" si="320"/>
        <v>58.8</v>
      </c>
      <c r="Q805" s="25">
        <f t="shared" si="320"/>
        <v>0</v>
      </c>
      <c r="R805" s="25">
        <f t="shared" si="320"/>
        <v>58.3</v>
      </c>
      <c r="S805" s="25">
        <f t="shared" si="320"/>
        <v>58.3</v>
      </c>
      <c r="T805" s="25">
        <f t="shared" si="320"/>
        <v>0</v>
      </c>
      <c r="U805" s="25">
        <f t="shared" si="320"/>
        <v>58.8</v>
      </c>
      <c r="V805" s="25">
        <f t="shared" si="320"/>
        <v>58.8</v>
      </c>
      <c r="W805" s="25">
        <f t="shared" si="320"/>
        <v>0</v>
      </c>
    </row>
    <row r="806" spans="1:23" ht="30">
      <c r="A806" s="409"/>
      <c r="B806" s="190" t="s">
        <v>861</v>
      </c>
      <c r="C806" s="415"/>
      <c r="D806" s="383"/>
      <c r="E806" s="226" t="s">
        <v>80</v>
      </c>
      <c r="F806" s="226" t="s">
        <v>144</v>
      </c>
      <c r="G806" s="226" t="s">
        <v>858</v>
      </c>
      <c r="H806" s="250"/>
      <c r="I806" s="412"/>
      <c r="J806" s="413"/>
      <c r="K806" s="414"/>
      <c r="L806" s="184">
        <v>270</v>
      </c>
      <c r="M806" s="184">
        <v>193</v>
      </c>
      <c r="N806" s="184">
        <v>42.9</v>
      </c>
      <c r="O806" s="184">
        <v>0</v>
      </c>
      <c r="P806" s="184">
        <v>0</v>
      </c>
      <c r="Q806" s="184">
        <v>0</v>
      </c>
      <c r="R806" s="184">
        <v>0</v>
      </c>
      <c r="S806" s="184">
        <v>0</v>
      </c>
      <c r="T806" s="184">
        <v>0</v>
      </c>
      <c r="U806" s="184">
        <v>0</v>
      </c>
      <c r="V806" s="184">
        <v>0</v>
      </c>
      <c r="W806" s="184">
        <v>0</v>
      </c>
    </row>
    <row r="807" spans="1:23" ht="30">
      <c r="A807" s="409"/>
      <c r="B807" s="190" t="s">
        <v>871</v>
      </c>
      <c r="C807" s="415"/>
      <c r="D807" s="383"/>
      <c r="E807" s="226" t="s">
        <v>451</v>
      </c>
      <c r="F807" s="226" t="s">
        <v>93</v>
      </c>
      <c r="G807" s="226" t="s">
        <v>452</v>
      </c>
      <c r="H807" s="250"/>
      <c r="I807" s="412"/>
      <c r="J807" s="413"/>
      <c r="K807" s="414"/>
      <c r="L807" s="184">
        <v>25</v>
      </c>
      <c r="M807" s="184">
        <v>57</v>
      </c>
      <c r="N807" s="184">
        <v>20</v>
      </c>
      <c r="O807" s="184">
        <f>P807+Q807</f>
        <v>58.8</v>
      </c>
      <c r="P807" s="184">
        <v>58.8</v>
      </c>
      <c r="Q807" s="184">
        <v>0</v>
      </c>
      <c r="R807" s="184">
        <f>S807+T807</f>
        <v>58.3</v>
      </c>
      <c r="S807" s="184">
        <v>58.3</v>
      </c>
      <c r="T807" s="184">
        <v>0</v>
      </c>
      <c r="U807" s="184">
        <f>V807+W807</f>
        <v>58.8</v>
      </c>
      <c r="V807" s="184">
        <v>58.8</v>
      </c>
      <c r="W807" s="184">
        <v>0</v>
      </c>
    </row>
    <row r="808" spans="1:23" ht="47.25">
      <c r="A808" s="409" t="s">
        <v>872</v>
      </c>
      <c r="B808" s="242" t="s">
        <v>1085</v>
      </c>
      <c r="C808" s="415"/>
      <c r="D808" s="383"/>
      <c r="E808" s="226"/>
      <c r="F808" s="226"/>
      <c r="G808" s="226"/>
      <c r="H808" s="250">
        <v>630</v>
      </c>
      <c r="I808" s="412"/>
      <c r="J808" s="413"/>
      <c r="K808" s="414"/>
      <c r="L808" s="25">
        <f>L809+L810</f>
        <v>1960.6000000000001</v>
      </c>
      <c r="M808" s="25">
        <f t="shared" ref="M808:W808" si="321">M809+M810</f>
        <v>2099</v>
      </c>
      <c r="N808" s="25">
        <f t="shared" si="321"/>
        <v>1115.5999999999999</v>
      </c>
      <c r="O808" s="25">
        <f t="shared" si="321"/>
        <v>2707.6</v>
      </c>
      <c r="P808" s="25">
        <f t="shared" si="321"/>
        <v>2707.6</v>
      </c>
      <c r="Q808" s="25">
        <f t="shared" si="321"/>
        <v>0</v>
      </c>
      <c r="R808" s="25">
        <f t="shared" si="321"/>
        <v>2682.5</v>
      </c>
      <c r="S808" s="25">
        <f t="shared" si="321"/>
        <v>2682.5</v>
      </c>
      <c r="T808" s="25">
        <f t="shared" si="321"/>
        <v>0</v>
      </c>
      <c r="U808" s="25">
        <f t="shared" si="321"/>
        <v>2709.5</v>
      </c>
      <c r="V808" s="25">
        <f t="shared" si="321"/>
        <v>2709.5</v>
      </c>
      <c r="W808" s="25">
        <f t="shared" si="321"/>
        <v>0</v>
      </c>
    </row>
    <row r="809" spans="1:23" ht="30">
      <c r="A809" s="409"/>
      <c r="B809" s="190" t="s">
        <v>861</v>
      </c>
      <c r="C809" s="385"/>
      <c r="D809" s="383"/>
      <c r="E809" s="226" t="s">
        <v>80</v>
      </c>
      <c r="F809" s="226" t="s">
        <v>144</v>
      </c>
      <c r="G809" s="226" t="s">
        <v>858</v>
      </c>
      <c r="H809" s="250"/>
      <c r="I809" s="412"/>
      <c r="J809" s="413"/>
      <c r="K809" s="414"/>
      <c r="L809" s="184">
        <v>1912.7</v>
      </c>
      <c r="M809" s="184">
        <v>2053.5</v>
      </c>
      <c r="N809" s="184">
        <v>1070.0999999999999</v>
      </c>
      <c r="O809" s="184">
        <f>P809</f>
        <v>2663.7</v>
      </c>
      <c r="P809" s="184">
        <v>2663.7</v>
      </c>
      <c r="Q809" s="184">
        <v>0</v>
      </c>
      <c r="R809" s="184">
        <f>S809</f>
        <v>2639</v>
      </c>
      <c r="S809" s="184">
        <v>2639</v>
      </c>
      <c r="T809" s="184">
        <v>0</v>
      </c>
      <c r="U809" s="184">
        <f>V809</f>
        <v>2665.6</v>
      </c>
      <c r="V809" s="184">
        <v>2665.6</v>
      </c>
      <c r="W809" s="25">
        <v>0</v>
      </c>
    </row>
    <row r="810" spans="1:23" ht="25.5">
      <c r="A810" s="409"/>
      <c r="B810" s="189" t="s">
        <v>1436</v>
      </c>
      <c r="C810" s="385"/>
      <c r="D810" s="383"/>
      <c r="E810" s="226" t="s">
        <v>80</v>
      </c>
      <c r="F810" s="226" t="s">
        <v>144</v>
      </c>
      <c r="G810" s="226" t="s">
        <v>579</v>
      </c>
      <c r="H810" s="250"/>
      <c r="I810" s="412"/>
      <c r="J810" s="413"/>
      <c r="K810" s="414"/>
      <c r="L810" s="184">
        <v>47.9</v>
      </c>
      <c r="M810" s="184">
        <v>45.5</v>
      </c>
      <c r="N810" s="184">
        <v>45.5</v>
      </c>
      <c r="O810" s="184">
        <f>P810</f>
        <v>43.9</v>
      </c>
      <c r="P810" s="184">
        <v>43.9</v>
      </c>
      <c r="Q810" s="184">
        <v>0</v>
      </c>
      <c r="R810" s="184">
        <f>S810</f>
        <v>43.5</v>
      </c>
      <c r="S810" s="184">
        <v>43.5</v>
      </c>
      <c r="T810" s="184">
        <v>0</v>
      </c>
      <c r="U810" s="184">
        <f>V810</f>
        <v>43.9</v>
      </c>
      <c r="V810" s="184">
        <v>43.9</v>
      </c>
      <c r="W810" s="25">
        <v>0</v>
      </c>
    </row>
    <row r="811" spans="1:23" ht="75.75">
      <c r="A811" s="384" t="s">
        <v>873</v>
      </c>
      <c r="B811" s="127" t="s">
        <v>1437</v>
      </c>
      <c r="C811" s="385"/>
      <c r="D811" s="383"/>
      <c r="E811" s="226" t="s">
        <v>80</v>
      </c>
      <c r="F811" s="226" t="s">
        <v>144</v>
      </c>
      <c r="G811" s="226" t="s">
        <v>858</v>
      </c>
      <c r="H811" s="250">
        <v>630</v>
      </c>
      <c r="I811" s="412"/>
      <c r="J811" s="413"/>
      <c r="K811" s="386"/>
      <c r="L811" s="25">
        <v>100</v>
      </c>
      <c r="M811" s="25">
        <v>100</v>
      </c>
      <c r="N811" s="25">
        <v>62</v>
      </c>
      <c r="O811" s="25">
        <v>0</v>
      </c>
      <c r="P811" s="25">
        <v>0</v>
      </c>
      <c r="Q811" s="25">
        <v>0</v>
      </c>
      <c r="R811" s="25">
        <v>0</v>
      </c>
      <c r="S811" s="25">
        <v>0</v>
      </c>
      <c r="T811" s="25">
        <v>0</v>
      </c>
      <c r="U811" s="25">
        <v>0</v>
      </c>
      <c r="V811" s="25">
        <v>0</v>
      </c>
      <c r="W811" s="25">
        <v>0</v>
      </c>
    </row>
    <row r="812" spans="1:23" ht="39.75">
      <c r="A812" s="384" t="s">
        <v>1438</v>
      </c>
      <c r="B812" s="194" t="s">
        <v>1439</v>
      </c>
      <c r="C812" s="385"/>
      <c r="D812" s="383"/>
      <c r="E812" s="226" t="s">
        <v>80</v>
      </c>
      <c r="F812" s="226" t="s">
        <v>144</v>
      </c>
      <c r="G812" s="226" t="s">
        <v>858</v>
      </c>
      <c r="H812" s="250">
        <v>630</v>
      </c>
      <c r="I812" s="412"/>
      <c r="J812" s="413"/>
      <c r="K812" s="386"/>
      <c r="L812" s="25">
        <v>0</v>
      </c>
      <c r="M812" s="25">
        <v>50</v>
      </c>
      <c r="N812" s="25">
        <v>25</v>
      </c>
      <c r="O812" s="25">
        <f>P812</f>
        <v>0</v>
      </c>
      <c r="P812" s="25">
        <v>0</v>
      </c>
      <c r="Q812" s="25">
        <v>0</v>
      </c>
      <c r="R812" s="25">
        <f>S812</f>
        <v>0</v>
      </c>
      <c r="S812" s="25">
        <v>0</v>
      </c>
      <c r="T812" s="25">
        <v>0</v>
      </c>
      <c r="U812" s="25">
        <f>V812</f>
        <v>0</v>
      </c>
      <c r="V812" s="25">
        <v>0</v>
      </c>
      <c r="W812" s="25">
        <v>0</v>
      </c>
    </row>
    <row r="813" spans="1:23">
      <c r="A813" s="411" t="s">
        <v>874</v>
      </c>
      <c r="B813" s="411"/>
      <c r="C813" s="411"/>
      <c r="D813" s="411"/>
      <c r="E813" s="411"/>
      <c r="F813" s="411"/>
      <c r="G813" s="411"/>
      <c r="H813" s="411"/>
      <c r="I813" s="411"/>
      <c r="J813" s="411"/>
      <c r="K813" s="411"/>
      <c r="L813" s="195">
        <f>SUM(L814,)</f>
        <v>1051771.2</v>
      </c>
      <c r="M813" s="195">
        <f t="shared" ref="M813:W813" si="322">SUM(M814,)</f>
        <v>1044187.2000000001</v>
      </c>
      <c r="N813" s="195">
        <f t="shared" si="322"/>
        <v>503392.1</v>
      </c>
      <c r="O813" s="195">
        <f t="shared" si="322"/>
        <v>806717</v>
      </c>
      <c r="P813" s="195">
        <f t="shared" si="322"/>
        <v>806717</v>
      </c>
      <c r="Q813" s="195">
        <f t="shared" si="322"/>
        <v>0</v>
      </c>
      <c r="R813" s="195">
        <f t="shared" si="322"/>
        <v>918084.1</v>
      </c>
      <c r="S813" s="195">
        <f t="shared" si="322"/>
        <v>918084.1</v>
      </c>
      <c r="T813" s="195">
        <f t="shared" si="322"/>
        <v>0</v>
      </c>
      <c r="U813" s="195">
        <f t="shared" si="322"/>
        <v>962494.60000000009</v>
      </c>
      <c r="V813" s="195">
        <f t="shared" si="322"/>
        <v>962494.60000000009</v>
      </c>
      <c r="W813" s="195">
        <f t="shared" si="322"/>
        <v>0</v>
      </c>
    </row>
    <row r="814" spans="1:23">
      <c r="A814" s="384" t="s">
        <v>14</v>
      </c>
      <c r="B814" s="229" t="s">
        <v>875</v>
      </c>
      <c r="C814" s="115"/>
      <c r="D814" s="383"/>
      <c r="E814" s="250"/>
      <c r="F814" s="250"/>
      <c r="G814" s="250"/>
      <c r="H814" s="250">
        <v>400</v>
      </c>
      <c r="I814" s="15"/>
      <c r="J814" s="115"/>
      <c r="K814" s="14"/>
      <c r="L814" s="64">
        <f>L815+L816+L820+L827+L828+L835</f>
        <v>1051771.2</v>
      </c>
      <c r="M814" s="64">
        <f t="shared" ref="M814:W814" si="323">M815+M816+M820+M827+M828+M835</f>
        <v>1044187.2000000001</v>
      </c>
      <c r="N814" s="64">
        <f t="shared" si="323"/>
        <v>503392.1</v>
      </c>
      <c r="O814" s="64">
        <f t="shared" si="323"/>
        <v>806717</v>
      </c>
      <c r="P814" s="64">
        <f t="shared" si="323"/>
        <v>806717</v>
      </c>
      <c r="Q814" s="64">
        <f t="shared" si="323"/>
        <v>0</v>
      </c>
      <c r="R814" s="64">
        <f t="shared" si="323"/>
        <v>918084.1</v>
      </c>
      <c r="S814" s="64">
        <f t="shared" si="323"/>
        <v>918084.1</v>
      </c>
      <c r="T814" s="64">
        <f t="shared" si="323"/>
        <v>0</v>
      </c>
      <c r="U814" s="64">
        <f t="shared" si="323"/>
        <v>962494.60000000009</v>
      </c>
      <c r="V814" s="64">
        <f t="shared" si="323"/>
        <v>962494.60000000009</v>
      </c>
      <c r="W814" s="64">
        <f t="shared" si="323"/>
        <v>0</v>
      </c>
    </row>
    <row r="815" spans="1:23" ht="78.75">
      <c r="A815" s="384" t="s">
        <v>876</v>
      </c>
      <c r="B815" s="242" t="s">
        <v>877</v>
      </c>
      <c r="C815" s="115"/>
      <c r="D815" s="383"/>
      <c r="E815" s="226" t="s">
        <v>93</v>
      </c>
      <c r="F815" s="226" t="s">
        <v>144</v>
      </c>
      <c r="G815" s="226" t="s">
        <v>878</v>
      </c>
      <c r="H815" s="250">
        <v>410</v>
      </c>
      <c r="I815" s="104" t="s">
        <v>879</v>
      </c>
      <c r="J815" s="192" t="s">
        <v>880</v>
      </c>
      <c r="K815" s="14"/>
      <c r="L815" s="25">
        <v>0</v>
      </c>
      <c r="M815" s="25">
        <v>458.2</v>
      </c>
      <c r="N815" s="25">
        <v>0</v>
      </c>
      <c r="O815" s="25">
        <f>P815</f>
        <v>1772</v>
      </c>
      <c r="P815" s="25">
        <v>1772</v>
      </c>
      <c r="Q815" s="25">
        <v>0</v>
      </c>
      <c r="R815" s="25">
        <v>0</v>
      </c>
      <c r="S815" s="25">
        <v>0</v>
      </c>
      <c r="T815" s="25">
        <v>0</v>
      </c>
      <c r="U815" s="25">
        <v>0</v>
      </c>
      <c r="V815" s="25">
        <v>0</v>
      </c>
      <c r="W815" s="25">
        <v>0</v>
      </c>
    </row>
    <row r="816" spans="1:23" ht="63">
      <c r="A816" s="384" t="s">
        <v>881</v>
      </c>
      <c r="B816" s="242" t="s">
        <v>882</v>
      </c>
      <c r="C816" s="196"/>
      <c r="D816" s="383"/>
      <c r="E816" s="226" t="s">
        <v>93</v>
      </c>
      <c r="F816" s="226" t="s">
        <v>97</v>
      </c>
      <c r="G816" s="226" t="s">
        <v>883</v>
      </c>
      <c r="H816" s="250">
        <v>410</v>
      </c>
      <c r="I816" s="109" t="s">
        <v>884</v>
      </c>
      <c r="J816" s="198" t="s">
        <v>885</v>
      </c>
      <c r="K816" s="197"/>
      <c r="L816" s="25">
        <f>L817+L818+L819</f>
        <v>368439.89999999997</v>
      </c>
      <c r="M816" s="25">
        <f t="shared" ref="M816:W816" si="324">M817+M818+M819</f>
        <v>335954.3</v>
      </c>
      <c r="N816" s="25">
        <f t="shared" si="324"/>
        <v>55093.1</v>
      </c>
      <c r="O816" s="25">
        <f t="shared" si="324"/>
        <v>10678</v>
      </c>
      <c r="P816" s="25">
        <f t="shared" si="324"/>
        <v>10678</v>
      </c>
      <c r="Q816" s="25">
        <f t="shared" si="324"/>
        <v>0</v>
      </c>
      <c r="R816" s="25">
        <f t="shared" si="324"/>
        <v>0</v>
      </c>
      <c r="S816" s="25">
        <f t="shared" si="324"/>
        <v>0</v>
      </c>
      <c r="T816" s="25">
        <f t="shared" si="324"/>
        <v>0</v>
      </c>
      <c r="U816" s="25">
        <f t="shared" si="324"/>
        <v>0</v>
      </c>
      <c r="V816" s="25">
        <f t="shared" si="324"/>
        <v>0</v>
      </c>
      <c r="W816" s="25">
        <f t="shared" si="324"/>
        <v>0</v>
      </c>
    </row>
    <row r="817" spans="1:23" ht="25.5">
      <c r="A817" s="384"/>
      <c r="B817" s="189" t="s">
        <v>894</v>
      </c>
      <c r="C817" s="196"/>
      <c r="D817" s="383"/>
      <c r="E817" s="108" t="s">
        <v>93</v>
      </c>
      <c r="F817" s="108" t="s">
        <v>97</v>
      </c>
      <c r="G817" s="108" t="s">
        <v>886</v>
      </c>
      <c r="H817" s="250"/>
      <c r="I817" s="400" t="s">
        <v>887</v>
      </c>
      <c r="J817" s="198" t="s">
        <v>888</v>
      </c>
      <c r="K817" s="197"/>
      <c r="L817" s="184">
        <v>2719.1</v>
      </c>
      <c r="M817" s="184">
        <v>2781.3</v>
      </c>
      <c r="N817" s="184">
        <v>727.9</v>
      </c>
      <c r="O817" s="184">
        <f>Q817+P817</f>
        <v>2078</v>
      </c>
      <c r="P817" s="184">
        <v>2078</v>
      </c>
      <c r="Q817" s="184">
        <v>0</v>
      </c>
      <c r="R817" s="184">
        <f>S817+T817</f>
        <v>0</v>
      </c>
      <c r="S817" s="184">
        <v>0</v>
      </c>
      <c r="T817" s="184">
        <v>0</v>
      </c>
      <c r="U817" s="184">
        <f>V817+W817</f>
        <v>0</v>
      </c>
      <c r="V817" s="184">
        <v>0</v>
      </c>
      <c r="W817" s="184">
        <v>0</v>
      </c>
    </row>
    <row r="818" spans="1:23" ht="25.5">
      <c r="A818" s="384"/>
      <c r="B818" s="189" t="s">
        <v>1086</v>
      </c>
      <c r="C818" s="196"/>
      <c r="D818" s="383"/>
      <c r="E818" s="108" t="s">
        <v>93</v>
      </c>
      <c r="F818" s="108" t="s">
        <v>97</v>
      </c>
      <c r="G818" s="108" t="s">
        <v>1087</v>
      </c>
      <c r="H818" s="250"/>
      <c r="I818" s="400"/>
      <c r="J818" s="198"/>
      <c r="K818" s="197"/>
      <c r="L818" s="184">
        <v>324394.8</v>
      </c>
      <c r="M818" s="184">
        <v>0</v>
      </c>
      <c r="N818" s="184">
        <v>0</v>
      </c>
      <c r="O818" s="184">
        <f>P818+Q818</f>
        <v>0</v>
      </c>
      <c r="P818" s="184">
        <v>0</v>
      </c>
      <c r="Q818" s="184">
        <v>0</v>
      </c>
      <c r="R818" s="184">
        <f>S818+T818</f>
        <v>0</v>
      </c>
      <c r="S818" s="184">
        <v>0</v>
      </c>
      <c r="T818" s="184">
        <v>0</v>
      </c>
      <c r="U818" s="184">
        <f>V818+W818</f>
        <v>0</v>
      </c>
      <c r="V818" s="184">
        <v>0</v>
      </c>
      <c r="W818" s="184">
        <v>0</v>
      </c>
    </row>
    <row r="819" spans="1:23" ht="38.25">
      <c r="A819" s="384"/>
      <c r="B819" s="189" t="s">
        <v>889</v>
      </c>
      <c r="C819" s="196"/>
      <c r="D819" s="383"/>
      <c r="E819" s="108" t="s">
        <v>93</v>
      </c>
      <c r="F819" s="108" t="s">
        <v>97</v>
      </c>
      <c r="G819" s="108" t="s">
        <v>173</v>
      </c>
      <c r="H819" s="250"/>
      <c r="I819" s="400"/>
      <c r="J819" s="198"/>
      <c r="K819" s="197"/>
      <c r="L819" s="184">
        <v>41326</v>
      </c>
      <c r="M819" s="184">
        <v>333173</v>
      </c>
      <c r="N819" s="184">
        <v>54365.2</v>
      </c>
      <c r="O819" s="184">
        <f>P819+Q819</f>
        <v>8600</v>
      </c>
      <c r="P819" s="184">
        <v>8600</v>
      </c>
      <c r="Q819" s="184">
        <v>0</v>
      </c>
      <c r="R819" s="184">
        <f>S819+T819</f>
        <v>0</v>
      </c>
      <c r="S819" s="184">
        <v>0</v>
      </c>
      <c r="T819" s="184">
        <v>0</v>
      </c>
      <c r="U819" s="184">
        <f>V819+W819</f>
        <v>0</v>
      </c>
      <c r="V819" s="184">
        <v>0</v>
      </c>
      <c r="W819" s="184">
        <v>0</v>
      </c>
    </row>
    <row r="820" spans="1:23" ht="38.25">
      <c r="A820" s="409" t="s">
        <v>890</v>
      </c>
      <c r="B820" s="189" t="s">
        <v>891</v>
      </c>
      <c r="C820" s="408"/>
      <c r="D820" s="406"/>
      <c r="E820" s="226" t="s">
        <v>1440</v>
      </c>
      <c r="F820" s="226" t="s">
        <v>1441</v>
      </c>
      <c r="G820" s="226"/>
      <c r="H820" s="250">
        <v>410</v>
      </c>
      <c r="I820" s="400" t="s">
        <v>892</v>
      </c>
      <c r="J820" s="405" t="s">
        <v>893</v>
      </c>
      <c r="K820" s="406"/>
      <c r="L820" s="25">
        <f>L821+L822+L823+L826+L824+L825</f>
        <v>282200.59999999998</v>
      </c>
      <c r="M820" s="25">
        <f t="shared" ref="M820:W820" si="325">M821+M822+M823+M826+M824+M825</f>
        <v>95497.4</v>
      </c>
      <c r="N820" s="25">
        <f t="shared" si="325"/>
        <v>39179.200000000004</v>
      </c>
      <c r="O820" s="25">
        <f t="shared" si="325"/>
        <v>161937.60000000001</v>
      </c>
      <c r="P820" s="25">
        <f t="shared" si="325"/>
        <v>161937.60000000001</v>
      </c>
      <c r="Q820" s="25">
        <f t="shared" si="325"/>
        <v>0</v>
      </c>
      <c r="R820" s="25">
        <f t="shared" si="325"/>
        <v>875784.1</v>
      </c>
      <c r="S820" s="25">
        <f t="shared" si="325"/>
        <v>875784.1</v>
      </c>
      <c r="T820" s="25">
        <f t="shared" si="325"/>
        <v>0</v>
      </c>
      <c r="U820" s="25">
        <f t="shared" si="325"/>
        <v>943873.3</v>
      </c>
      <c r="V820" s="25">
        <f t="shared" si="325"/>
        <v>943873.3</v>
      </c>
      <c r="W820" s="25">
        <f t="shared" si="325"/>
        <v>0</v>
      </c>
    </row>
    <row r="821" spans="1:23" ht="25.5">
      <c r="A821" s="409"/>
      <c r="B821" s="189" t="s">
        <v>1442</v>
      </c>
      <c r="C821" s="408"/>
      <c r="D821" s="406"/>
      <c r="E821" s="108" t="s">
        <v>98</v>
      </c>
      <c r="F821" s="108" t="s">
        <v>143</v>
      </c>
      <c r="G821" s="108" t="s">
        <v>1443</v>
      </c>
      <c r="H821" s="241"/>
      <c r="I821" s="400"/>
      <c r="J821" s="405"/>
      <c r="K821" s="406"/>
      <c r="L821" s="184">
        <v>0</v>
      </c>
      <c r="M821" s="184">
        <v>2199.5</v>
      </c>
      <c r="N821" s="184">
        <v>791.8</v>
      </c>
      <c r="O821" s="184">
        <f>P821</f>
        <v>0</v>
      </c>
      <c r="P821" s="184">
        <v>0</v>
      </c>
      <c r="Q821" s="184">
        <v>0</v>
      </c>
      <c r="R821" s="184">
        <f>S821</f>
        <v>0</v>
      </c>
      <c r="S821" s="184">
        <v>0</v>
      </c>
      <c r="T821" s="184">
        <v>0</v>
      </c>
      <c r="U821" s="184">
        <f>V821</f>
        <v>0</v>
      </c>
      <c r="V821" s="184">
        <v>0</v>
      </c>
      <c r="W821" s="184">
        <v>0</v>
      </c>
    </row>
    <row r="822" spans="1:23" ht="25.5">
      <c r="A822" s="409"/>
      <c r="B822" s="189" t="s">
        <v>1444</v>
      </c>
      <c r="C822" s="408"/>
      <c r="D822" s="406"/>
      <c r="E822" s="108" t="s">
        <v>98</v>
      </c>
      <c r="F822" s="108" t="s">
        <v>143</v>
      </c>
      <c r="G822" s="108" t="s">
        <v>895</v>
      </c>
      <c r="H822" s="241"/>
      <c r="I822" s="400"/>
      <c r="J822" s="405"/>
      <c r="K822" s="406"/>
      <c r="L822" s="184">
        <v>14261.8</v>
      </c>
      <c r="M822" s="184">
        <v>14915.1</v>
      </c>
      <c r="N822" s="184">
        <v>5975</v>
      </c>
      <c r="O822" s="184">
        <f>Q822+P822</f>
        <v>9650.9</v>
      </c>
      <c r="P822" s="184">
        <v>9650.9</v>
      </c>
      <c r="Q822" s="184">
        <v>0</v>
      </c>
      <c r="R822" s="184">
        <f>T822+S822</f>
        <v>10560</v>
      </c>
      <c r="S822" s="184">
        <v>10560</v>
      </c>
      <c r="T822" s="184">
        <v>0</v>
      </c>
      <c r="U822" s="184">
        <f>V822+W822</f>
        <v>6000</v>
      </c>
      <c r="V822" s="184">
        <v>6000</v>
      </c>
      <c r="W822" s="184">
        <v>0</v>
      </c>
    </row>
    <row r="823" spans="1:23" ht="25.5">
      <c r="A823" s="409"/>
      <c r="B823" s="189" t="s">
        <v>1445</v>
      </c>
      <c r="C823" s="408"/>
      <c r="D823" s="406"/>
      <c r="E823" s="108" t="s">
        <v>98</v>
      </c>
      <c r="F823" s="108" t="s">
        <v>143</v>
      </c>
      <c r="G823" s="108" t="s">
        <v>221</v>
      </c>
      <c r="H823" s="241"/>
      <c r="I823" s="400"/>
      <c r="J823" s="405"/>
      <c r="K823" s="406"/>
      <c r="L823" s="184">
        <v>0</v>
      </c>
      <c r="M823" s="184">
        <v>0</v>
      </c>
      <c r="N823" s="184">
        <v>0</v>
      </c>
      <c r="O823" s="184">
        <f>P823</f>
        <v>2000</v>
      </c>
      <c r="P823" s="184">
        <v>2000</v>
      </c>
      <c r="Q823" s="184">
        <v>0</v>
      </c>
      <c r="R823" s="184">
        <f>S823</f>
        <v>0</v>
      </c>
      <c r="S823" s="184">
        <v>0</v>
      </c>
      <c r="T823" s="184">
        <v>0</v>
      </c>
      <c r="U823" s="184">
        <f>V823</f>
        <v>0</v>
      </c>
      <c r="V823" s="184">
        <v>0</v>
      </c>
      <c r="W823" s="184">
        <v>0</v>
      </c>
    </row>
    <row r="824" spans="1:23" ht="47.25">
      <c r="A824" s="409"/>
      <c r="B824" s="189" t="s">
        <v>1086</v>
      </c>
      <c r="C824" s="408"/>
      <c r="D824" s="406"/>
      <c r="E824" s="108" t="s">
        <v>98</v>
      </c>
      <c r="F824" s="108" t="s">
        <v>143</v>
      </c>
      <c r="G824" s="108" t="s">
        <v>1446</v>
      </c>
      <c r="H824" s="241"/>
      <c r="I824" s="400"/>
      <c r="J824" s="405"/>
      <c r="K824" s="406"/>
      <c r="L824" s="184">
        <v>123693.1</v>
      </c>
      <c r="M824" s="184">
        <v>62139.8</v>
      </c>
      <c r="N824" s="184">
        <v>32412.400000000001</v>
      </c>
      <c r="O824" s="184">
        <f>P824+Q824</f>
        <v>122795.8</v>
      </c>
      <c r="P824" s="184">
        <v>122795.8</v>
      </c>
      <c r="Q824" s="184">
        <v>0</v>
      </c>
      <c r="R824" s="184">
        <f>T824+S824</f>
        <v>865224.1</v>
      </c>
      <c r="S824" s="184">
        <v>865224.1</v>
      </c>
      <c r="T824" s="184">
        <v>0</v>
      </c>
      <c r="U824" s="184">
        <f>V824+W824</f>
        <v>937873.3</v>
      </c>
      <c r="V824" s="184">
        <v>937873.3</v>
      </c>
      <c r="W824" s="184">
        <v>0</v>
      </c>
    </row>
    <row r="825" spans="1:23" ht="25.5">
      <c r="A825" s="409"/>
      <c r="B825" s="189" t="s">
        <v>896</v>
      </c>
      <c r="C825" s="408"/>
      <c r="D825" s="406"/>
      <c r="E825" s="108" t="s">
        <v>98</v>
      </c>
      <c r="F825" s="108" t="s">
        <v>143</v>
      </c>
      <c r="G825" s="108" t="s">
        <v>897</v>
      </c>
      <c r="H825" s="241"/>
      <c r="I825" s="400"/>
      <c r="J825" s="405"/>
      <c r="K825" s="406"/>
      <c r="L825" s="184">
        <v>144245.70000000001</v>
      </c>
      <c r="M825" s="184">
        <v>0</v>
      </c>
      <c r="N825" s="184">
        <v>0</v>
      </c>
      <c r="O825" s="184">
        <f>P825+Q825</f>
        <v>0</v>
      </c>
      <c r="P825" s="184">
        <v>0</v>
      </c>
      <c r="Q825" s="184">
        <v>0</v>
      </c>
      <c r="R825" s="184">
        <f>T825</f>
        <v>0</v>
      </c>
      <c r="S825" s="184">
        <v>0</v>
      </c>
      <c r="T825" s="184">
        <v>0</v>
      </c>
      <c r="U825" s="184">
        <v>0</v>
      </c>
      <c r="V825" s="184">
        <v>0</v>
      </c>
      <c r="W825" s="184">
        <v>0</v>
      </c>
    </row>
    <row r="826" spans="1:23" ht="25.5">
      <c r="A826" s="409"/>
      <c r="B826" s="189" t="s">
        <v>1447</v>
      </c>
      <c r="C826" s="408"/>
      <c r="D826" s="406"/>
      <c r="E826" s="108" t="s">
        <v>98</v>
      </c>
      <c r="F826" s="108" t="s">
        <v>143</v>
      </c>
      <c r="G826" s="108" t="s">
        <v>1215</v>
      </c>
      <c r="H826" s="241"/>
      <c r="I826" s="400"/>
      <c r="J826" s="405"/>
      <c r="K826" s="406"/>
      <c r="L826" s="184">
        <v>0</v>
      </c>
      <c r="M826" s="184">
        <v>16243</v>
      </c>
      <c r="N826" s="184">
        <v>0</v>
      </c>
      <c r="O826" s="184">
        <f>P826</f>
        <v>27490.9</v>
      </c>
      <c r="P826" s="184">
        <v>27490.9</v>
      </c>
      <c r="Q826" s="184">
        <v>0</v>
      </c>
      <c r="R826" s="184">
        <f>S826</f>
        <v>0</v>
      </c>
      <c r="S826" s="184">
        <v>0</v>
      </c>
      <c r="T826" s="184">
        <v>0</v>
      </c>
      <c r="U826" s="184">
        <f>V826</f>
        <v>0</v>
      </c>
      <c r="V826" s="184">
        <v>0</v>
      </c>
      <c r="W826" s="184">
        <v>0</v>
      </c>
    </row>
    <row r="827" spans="1:23" ht="114.75">
      <c r="A827" s="384" t="s">
        <v>898</v>
      </c>
      <c r="B827" s="189" t="s">
        <v>1448</v>
      </c>
      <c r="C827" s="115"/>
      <c r="D827" s="383"/>
      <c r="E827" s="226" t="s">
        <v>98</v>
      </c>
      <c r="F827" s="226" t="s">
        <v>92</v>
      </c>
      <c r="G827" s="226" t="s">
        <v>1449</v>
      </c>
      <c r="H827" s="250">
        <v>410</v>
      </c>
      <c r="I827" s="104" t="s">
        <v>899</v>
      </c>
      <c r="J827" s="192" t="s">
        <v>900</v>
      </c>
      <c r="K827" s="14"/>
      <c r="L827" s="25">
        <v>269703.2</v>
      </c>
      <c r="M827" s="25">
        <f>352537.4+250000</f>
        <v>602537.4</v>
      </c>
      <c r="N827" s="25">
        <f>189649.5+219223.7</f>
        <v>408873.2</v>
      </c>
      <c r="O827" s="25">
        <f>Q827+P827</f>
        <v>623029.4</v>
      </c>
      <c r="P827" s="25">
        <f>2000+621029.4</f>
        <v>623029.4</v>
      </c>
      <c r="Q827" s="25">
        <v>0</v>
      </c>
      <c r="R827" s="25">
        <f>T827+S827</f>
        <v>0</v>
      </c>
      <c r="S827" s="25">
        <v>0</v>
      </c>
      <c r="T827" s="25">
        <v>0</v>
      </c>
      <c r="U827" s="25">
        <f>W827+V827</f>
        <v>0</v>
      </c>
      <c r="V827" s="25">
        <v>0</v>
      </c>
      <c r="W827" s="25">
        <v>0</v>
      </c>
    </row>
    <row r="828" spans="1:23" ht="51">
      <c r="A828" s="409" t="s">
        <v>901</v>
      </c>
      <c r="B828" s="189" t="s">
        <v>902</v>
      </c>
      <c r="C828" s="408"/>
      <c r="D828" s="406"/>
      <c r="E828" s="226"/>
      <c r="F828" s="226"/>
      <c r="G828" s="226"/>
      <c r="H828" s="250">
        <v>410</v>
      </c>
      <c r="I828" s="410" t="s">
        <v>903</v>
      </c>
      <c r="J828" s="402" t="s">
        <v>904</v>
      </c>
      <c r="K828" s="406"/>
      <c r="L828" s="25">
        <f>L829+L830+L833+L831</f>
        <v>128639.20000000001</v>
      </c>
      <c r="M828" s="25">
        <f t="shared" ref="M828:W828" si="326">M829+M830+M833+M831</f>
        <v>9739.9</v>
      </c>
      <c r="N828" s="25">
        <f t="shared" si="326"/>
        <v>246.60000000000002</v>
      </c>
      <c r="O828" s="25">
        <f t="shared" si="326"/>
        <v>9000</v>
      </c>
      <c r="P828" s="25">
        <f t="shared" si="326"/>
        <v>9000</v>
      </c>
      <c r="Q828" s="25">
        <f t="shared" si="326"/>
        <v>0</v>
      </c>
      <c r="R828" s="25">
        <f t="shared" si="326"/>
        <v>34000</v>
      </c>
      <c r="S828" s="25">
        <f t="shared" si="326"/>
        <v>34000</v>
      </c>
      <c r="T828" s="25">
        <f t="shared" si="326"/>
        <v>0</v>
      </c>
      <c r="U828" s="25">
        <f t="shared" si="326"/>
        <v>10621.3</v>
      </c>
      <c r="V828" s="25">
        <f t="shared" si="326"/>
        <v>10621.3</v>
      </c>
      <c r="W828" s="25">
        <f t="shared" si="326"/>
        <v>0</v>
      </c>
    </row>
    <row r="829" spans="1:23" ht="25.5">
      <c r="A829" s="409"/>
      <c r="B829" s="189" t="s">
        <v>905</v>
      </c>
      <c r="C829" s="408"/>
      <c r="D829" s="406"/>
      <c r="E829" s="108" t="s">
        <v>146</v>
      </c>
      <c r="F829" s="108" t="s">
        <v>92</v>
      </c>
      <c r="G829" s="108" t="s">
        <v>906</v>
      </c>
      <c r="H829" s="250"/>
      <c r="I829" s="410"/>
      <c r="J829" s="402"/>
      <c r="K829" s="406"/>
      <c r="L829" s="184">
        <v>2546.3000000000002</v>
      </c>
      <c r="M829" s="184">
        <v>8739.9</v>
      </c>
      <c r="N829" s="184">
        <v>182.8</v>
      </c>
      <c r="O829" s="184">
        <f t="shared" ref="O829:O835" si="327">P829</f>
        <v>8000</v>
      </c>
      <c r="P829" s="184">
        <v>8000</v>
      </c>
      <c r="Q829" s="184">
        <v>0</v>
      </c>
      <c r="R829" s="184">
        <f>S829+T829</f>
        <v>27000</v>
      </c>
      <c r="S829" s="184">
        <v>27000</v>
      </c>
      <c r="T829" s="184">
        <v>0</v>
      </c>
      <c r="U829" s="184">
        <f>W829+V829</f>
        <v>621.29999999999995</v>
      </c>
      <c r="V829" s="184">
        <v>621.29999999999995</v>
      </c>
      <c r="W829" s="184">
        <v>0</v>
      </c>
    </row>
    <row r="830" spans="1:23" ht="38.25">
      <c r="A830" s="409"/>
      <c r="B830" s="189" t="s">
        <v>907</v>
      </c>
      <c r="C830" s="408"/>
      <c r="D830" s="406"/>
      <c r="E830" s="108" t="s">
        <v>146</v>
      </c>
      <c r="F830" s="108" t="s">
        <v>92</v>
      </c>
      <c r="G830" s="108" t="s">
        <v>908</v>
      </c>
      <c r="H830" s="250"/>
      <c r="I830" s="410"/>
      <c r="J830" s="402"/>
      <c r="K830" s="406"/>
      <c r="L830" s="184">
        <v>85083.4</v>
      </c>
      <c r="M830" s="184">
        <v>0</v>
      </c>
      <c r="N830" s="184">
        <v>0</v>
      </c>
      <c r="O830" s="184">
        <f t="shared" si="327"/>
        <v>0</v>
      </c>
      <c r="P830" s="184">
        <v>0</v>
      </c>
      <c r="Q830" s="184">
        <v>0</v>
      </c>
      <c r="R830" s="184">
        <v>0</v>
      </c>
      <c r="S830" s="184">
        <v>0</v>
      </c>
      <c r="T830" s="184">
        <v>0</v>
      </c>
      <c r="U830" s="184">
        <v>0</v>
      </c>
      <c r="V830" s="184">
        <v>0</v>
      </c>
      <c r="W830" s="184">
        <v>0</v>
      </c>
    </row>
    <row r="831" spans="1:23" ht="38.25">
      <c r="A831" s="409"/>
      <c r="B831" s="189" t="s">
        <v>909</v>
      </c>
      <c r="C831" s="408"/>
      <c r="D831" s="406"/>
      <c r="E831" s="108" t="s">
        <v>146</v>
      </c>
      <c r="F831" s="108" t="s">
        <v>92</v>
      </c>
      <c r="G831" s="108" t="s">
        <v>1450</v>
      </c>
      <c r="H831" s="250"/>
      <c r="I831" s="410"/>
      <c r="J831" s="402"/>
      <c r="K831" s="406"/>
      <c r="L831" s="184">
        <v>39612.400000000001</v>
      </c>
      <c r="M831" s="184">
        <v>0</v>
      </c>
      <c r="N831" s="184">
        <v>0</v>
      </c>
      <c r="O831" s="184">
        <f>P831+Q831</f>
        <v>0</v>
      </c>
      <c r="P831" s="184">
        <v>0</v>
      </c>
      <c r="Q831" s="184">
        <v>0</v>
      </c>
      <c r="R831" s="184">
        <f>S831+T831</f>
        <v>0</v>
      </c>
      <c r="S831" s="184">
        <v>0</v>
      </c>
      <c r="T831" s="184">
        <v>0</v>
      </c>
      <c r="U831" s="184">
        <f>V831+W831</f>
        <v>0</v>
      </c>
      <c r="V831" s="184">
        <v>0</v>
      </c>
      <c r="W831" s="184">
        <v>0</v>
      </c>
    </row>
    <row r="832" spans="1:23" ht="31.5">
      <c r="A832" s="409"/>
      <c r="B832" s="189" t="s">
        <v>1088</v>
      </c>
      <c r="C832" s="408"/>
      <c r="D832" s="406"/>
      <c r="E832" s="108" t="s">
        <v>146</v>
      </c>
      <c r="F832" s="108" t="s">
        <v>143</v>
      </c>
      <c r="G832" s="108" t="s">
        <v>1451</v>
      </c>
      <c r="H832" s="250"/>
      <c r="I832" s="410"/>
      <c r="J832" s="402"/>
      <c r="K832" s="406"/>
      <c r="L832" s="184">
        <v>0</v>
      </c>
      <c r="M832" s="184">
        <v>64527.3</v>
      </c>
      <c r="N832" s="184">
        <v>64527.3</v>
      </c>
      <c r="O832" s="184">
        <f>P832</f>
        <v>621029.4</v>
      </c>
      <c r="P832" s="184">
        <v>621029.4</v>
      </c>
      <c r="Q832" s="184">
        <v>0</v>
      </c>
      <c r="R832" s="184">
        <f>S832+T832</f>
        <v>0</v>
      </c>
      <c r="S832" s="184">
        <v>0</v>
      </c>
      <c r="T832" s="184">
        <v>0</v>
      </c>
      <c r="U832" s="184">
        <f>V832</f>
        <v>0</v>
      </c>
      <c r="V832" s="184">
        <v>0</v>
      </c>
      <c r="W832" s="184">
        <v>0</v>
      </c>
    </row>
    <row r="833" spans="1:23" ht="25.5">
      <c r="A833" s="409"/>
      <c r="B833" s="189" t="s">
        <v>905</v>
      </c>
      <c r="C833" s="408"/>
      <c r="D833" s="406"/>
      <c r="E833" s="108" t="s">
        <v>146</v>
      </c>
      <c r="F833" s="108" t="s">
        <v>143</v>
      </c>
      <c r="G833" s="108" t="s">
        <v>906</v>
      </c>
      <c r="H833" s="250"/>
      <c r="I833" s="410"/>
      <c r="J833" s="402"/>
      <c r="K833" s="406"/>
      <c r="L833" s="184">
        <v>1397.1</v>
      </c>
      <c r="M833" s="184">
        <v>1000</v>
      </c>
      <c r="N833" s="184">
        <v>63.8</v>
      </c>
      <c r="O833" s="184">
        <f t="shared" si="327"/>
        <v>1000</v>
      </c>
      <c r="P833" s="184">
        <v>1000</v>
      </c>
      <c r="Q833" s="184">
        <v>0</v>
      </c>
      <c r="R833" s="184">
        <f>S833</f>
        <v>7000</v>
      </c>
      <c r="S833" s="184">
        <v>7000</v>
      </c>
      <c r="T833" s="184">
        <v>0</v>
      </c>
      <c r="U833" s="184">
        <f>V833</f>
        <v>10000</v>
      </c>
      <c r="V833" s="184">
        <v>10000</v>
      </c>
      <c r="W833" s="184">
        <v>0</v>
      </c>
    </row>
    <row r="834" spans="1:23" ht="25.5">
      <c r="A834" s="409"/>
      <c r="B834" s="189" t="s">
        <v>1088</v>
      </c>
      <c r="C834" s="408"/>
      <c r="D834" s="406"/>
      <c r="E834" s="108" t="s">
        <v>146</v>
      </c>
      <c r="F834" s="108" t="s">
        <v>143</v>
      </c>
      <c r="G834" s="108" t="s">
        <v>975</v>
      </c>
      <c r="H834" s="250"/>
      <c r="I834" s="410"/>
      <c r="J834" s="402"/>
      <c r="K834" s="406"/>
      <c r="L834" s="184">
        <v>0</v>
      </c>
      <c r="M834" s="184">
        <v>185472.7</v>
      </c>
      <c r="N834" s="184">
        <v>154696.4</v>
      </c>
      <c r="O834" s="184">
        <f>P834+Q834</f>
        <v>0</v>
      </c>
      <c r="P834" s="184">
        <v>0</v>
      </c>
      <c r="Q834" s="184">
        <v>0</v>
      </c>
      <c r="R834" s="184">
        <f>S834+T834</f>
        <v>0</v>
      </c>
      <c r="S834" s="184">
        <v>0</v>
      </c>
      <c r="T834" s="184">
        <v>0</v>
      </c>
      <c r="U834" s="184">
        <f>V834+W834</f>
        <v>0</v>
      </c>
      <c r="V834" s="184">
        <v>0</v>
      </c>
      <c r="W834" s="184">
        <v>0</v>
      </c>
    </row>
    <row r="835" spans="1:23" ht="96">
      <c r="A835" s="384" t="s">
        <v>910</v>
      </c>
      <c r="B835" s="189" t="s">
        <v>911</v>
      </c>
      <c r="C835" s="115"/>
      <c r="D835" s="383"/>
      <c r="E835" s="226" t="s">
        <v>1452</v>
      </c>
      <c r="F835" s="226" t="s">
        <v>1453</v>
      </c>
      <c r="G835" s="226" t="s">
        <v>1454</v>
      </c>
      <c r="H835" s="250">
        <v>410</v>
      </c>
      <c r="I835" s="104" t="s">
        <v>1089</v>
      </c>
      <c r="J835" s="104" t="s">
        <v>832</v>
      </c>
      <c r="K835" s="14"/>
      <c r="L835" s="25">
        <v>2788.3</v>
      </c>
      <c r="M835" s="25">
        <v>0</v>
      </c>
      <c r="N835" s="25">
        <v>0</v>
      </c>
      <c r="O835" s="25">
        <f t="shared" si="327"/>
        <v>300</v>
      </c>
      <c r="P835" s="25">
        <v>300</v>
      </c>
      <c r="Q835" s="25">
        <v>0</v>
      </c>
      <c r="R835" s="25">
        <f>S835+T835</f>
        <v>8300</v>
      </c>
      <c r="S835" s="25">
        <v>8300</v>
      </c>
      <c r="T835" s="25">
        <v>0</v>
      </c>
      <c r="U835" s="25">
        <f>V835+W835</f>
        <v>8000</v>
      </c>
      <c r="V835" s="25">
        <v>8000</v>
      </c>
      <c r="W835" s="25">
        <v>0</v>
      </c>
    </row>
    <row r="836" spans="1:23">
      <c r="A836" s="630" t="s">
        <v>15</v>
      </c>
      <c r="B836" s="659" t="s">
        <v>16</v>
      </c>
      <c r="C836" s="660"/>
      <c r="D836" s="661"/>
      <c r="E836" s="662"/>
      <c r="F836" s="662"/>
      <c r="G836" s="662"/>
      <c r="H836" s="662">
        <v>300</v>
      </c>
      <c r="I836" s="663"/>
      <c r="J836" s="660"/>
      <c r="K836" s="664"/>
      <c r="L836" s="20">
        <f>SUM(L837,L842,L857)</f>
        <v>43264.3</v>
      </c>
      <c r="M836" s="20">
        <f t="shared" ref="M836:W836" si="328">SUM(M837,M842,M857)</f>
        <v>44026.700000000004</v>
      </c>
      <c r="N836" s="20">
        <f t="shared" si="328"/>
        <v>34670.1</v>
      </c>
      <c r="O836" s="20">
        <f t="shared" si="328"/>
        <v>40252.299999999996</v>
      </c>
      <c r="P836" s="20">
        <f t="shared" si="328"/>
        <v>40252.299999999996</v>
      </c>
      <c r="Q836" s="20">
        <f t="shared" si="328"/>
        <v>0</v>
      </c>
      <c r="R836" s="20">
        <f t="shared" si="328"/>
        <v>48213.7</v>
      </c>
      <c r="S836" s="20">
        <f t="shared" si="328"/>
        <v>48213.7</v>
      </c>
      <c r="T836" s="20">
        <f t="shared" si="328"/>
        <v>0</v>
      </c>
      <c r="U836" s="20">
        <f t="shared" si="328"/>
        <v>50587.4</v>
      </c>
      <c r="V836" s="20">
        <f t="shared" si="328"/>
        <v>50587.4</v>
      </c>
      <c r="W836" s="20">
        <f t="shared" si="328"/>
        <v>0</v>
      </c>
    </row>
    <row r="837" spans="1:23" ht="63">
      <c r="A837" s="235" t="s">
        <v>17</v>
      </c>
      <c r="B837" s="205" t="s">
        <v>1455</v>
      </c>
      <c r="C837" s="31"/>
      <c r="D837" s="32"/>
      <c r="E837" s="257"/>
      <c r="F837" s="257"/>
      <c r="G837" s="257"/>
      <c r="H837" s="257">
        <v>310</v>
      </c>
      <c r="I837" s="33"/>
      <c r="J837" s="31"/>
      <c r="K837" s="32"/>
      <c r="L837" s="22">
        <f>SUM(L838:L841)</f>
        <v>1550.4</v>
      </c>
      <c r="M837" s="22">
        <f t="shared" ref="M837:W837" si="329">SUM(M838:M841)</f>
        <v>1878.4</v>
      </c>
      <c r="N837" s="22">
        <f>SUM(N838:N841)</f>
        <v>770.2</v>
      </c>
      <c r="O837" s="22">
        <f>SUM(O838:O841)</f>
        <v>1978.4</v>
      </c>
      <c r="P837" s="22">
        <f t="shared" si="329"/>
        <v>1978.4</v>
      </c>
      <c r="Q837" s="22">
        <f t="shared" si="329"/>
        <v>0</v>
      </c>
      <c r="R837" s="22">
        <f>SUM(R838:R841)</f>
        <v>1978.4</v>
      </c>
      <c r="S837" s="22">
        <f>SUM(S838:S841)</f>
        <v>1978.4</v>
      </c>
      <c r="T837" s="22">
        <f t="shared" si="329"/>
        <v>0</v>
      </c>
      <c r="U837" s="22">
        <f>SUM(U838:U841)</f>
        <v>1978.4</v>
      </c>
      <c r="V837" s="22">
        <f t="shared" si="329"/>
        <v>1978.4</v>
      </c>
      <c r="W837" s="22">
        <f t="shared" si="329"/>
        <v>0</v>
      </c>
    </row>
    <row r="838" spans="1:23" ht="30">
      <c r="A838" s="269" t="s">
        <v>10</v>
      </c>
      <c r="B838" s="190" t="s">
        <v>912</v>
      </c>
      <c r="C838" s="115"/>
      <c r="D838" s="383"/>
      <c r="E838" s="108" t="s">
        <v>913</v>
      </c>
      <c r="F838" s="108" t="s">
        <v>95</v>
      </c>
      <c r="G838" s="108" t="s">
        <v>914</v>
      </c>
      <c r="H838" s="226" t="s">
        <v>174</v>
      </c>
      <c r="I838" s="400" t="s">
        <v>1090</v>
      </c>
      <c r="J838" s="405" t="s">
        <v>915</v>
      </c>
      <c r="K838" s="406"/>
      <c r="L838" s="25">
        <v>859.5</v>
      </c>
      <c r="M838" s="25">
        <v>1050</v>
      </c>
      <c r="N838" s="25">
        <v>360</v>
      </c>
      <c r="O838" s="25">
        <f>SUM(P838:Q838)</f>
        <v>1050</v>
      </c>
      <c r="P838" s="25">
        <v>1050</v>
      </c>
      <c r="Q838" s="25">
        <v>0</v>
      </c>
      <c r="R838" s="25">
        <f>SUM(S838:T838)</f>
        <v>1050</v>
      </c>
      <c r="S838" s="25">
        <v>1050</v>
      </c>
      <c r="T838" s="25">
        <v>0</v>
      </c>
      <c r="U838" s="25">
        <f>SUM(V838:W838)</f>
        <v>1050</v>
      </c>
      <c r="V838" s="25">
        <v>1050</v>
      </c>
      <c r="W838" s="25">
        <v>0</v>
      </c>
    </row>
    <row r="839" spans="1:23" ht="31.5">
      <c r="A839" s="269" t="s">
        <v>11</v>
      </c>
      <c r="B839" s="242" t="s">
        <v>916</v>
      </c>
      <c r="C839" s="115"/>
      <c r="D839" s="383"/>
      <c r="E839" s="108" t="s">
        <v>913</v>
      </c>
      <c r="F839" s="108" t="s">
        <v>95</v>
      </c>
      <c r="G839" s="108" t="s">
        <v>917</v>
      </c>
      <c r="H839" s="226" t="s">
        <v>174</v>
      </c>
      <c r="I839" s="400"/>
      <c r="J839" s="405"/>
      <c r="K839" s="406"/>
      <c r="L839" s="25">
        <v>18.899999999999999</v>
      </c>
      <c r="M839" s="25">
        <v>8.4</v>
      </c>
      <c r="N839" s="25">
        <v>4.2</v>
      </c>
      <c r="O839" s="25">
        <f>P839</f>
        <v>8.4</v>
      </c>
      <c r="P839" s="25">
        <v>8.4</v>
      </c>
      <c r="Q839" s="25">
        <v>0</v>
      </c>
      <c r="R839" s="25">
        <f>S839</f>
        <v>8.4</v>
      </c>
      <c r="S839" s="25">
        <v>8.4</v>
      </c>
      <c r="T839" s="25">
        <v>0</v>
      </c>
      <c r="U839" s="25">
        <f>V839</f>
        <v>8.4</v>
      </c>
      <c r="V839" s="25">
        <v>8.4</v>
      </c>
      <c r="W839" s="25">
        <v>0</v>
      </c>
    </row>
    <row r="840" spans="1:23" ht="47.25">
      <c r="A840" s="269" t="s">
        <v>20</v>
      </c>
      <c r="B840" s="242" t="s">
        <v>918</v>
      </c>
      <c r="C840" s="115"/>
      <c r="D840" s="383"/>
      <c r="E840" s="108" t="s">
        <v>913</v>
      </c>
      <c r="F840" s="108" t="s">
        <v>95</v>
      </c>
      <c r="G840" s="108" t="s">
        <v>919</v>
      </c>
      <c r="H840" s="226" t="s">
        <v>174</v>
      </c>
      <c r="I840" s="400"/>
      <c r="J840" s="405"/>
      <c r="K840" s="406"/>
      <c r="L840" s="25">
        <v>672</v>
      </c>
      <c r="M840" s="25">
        <v>720</v>
      </c>
      <c r="N840" s="25">
        <v>326</v>
      </c>
      <c r="O840" s="25">
        <f>P840</f>
        <v>720</v>
      </c>
      <c r="P840" s="25">
        <v>720</v>
      </c>
      <c r="Q840" s="25">
        <v>0</v>
      </c>
      <c r="R840" s="25">
        <f>S840</f>
        <v>720</v>
      </c>
      <c r="S840" s="25">
        <v>720</v>
      </c>
      <c r="T840" s="25">
        <v>0</v>
      </c>
      <c r="U840" s="25">
        <f>V840</f>
        <v>720</v>
      </c>
      <c r="V840" s="25">
        <v>720</v>
      </c>
      <c r="W840" s="25">
        <v>0</v>
      </c>
    </row>
    <row r="841" spans="1:23" ht="63">
      <c r="A841" s="269" t="s">
        <v>175</v>
      </c>
      <c r="B841" s="242" t="s">
        <v>1456</v>
      </c>
      <c r="C841" s="115"/>
      <c r="D841" s="383"/>
      <c r="E841" s="108" t="s">
        <v>80</v>
      </c>
      <c r="F841" s="108" t="s">
        <v>95</v>
      </c>
      <c r="G841" s="108" t="s">
        <v>1457</v>
      </c>
      <c r="H841" s="226" t="s">
        <v>174</v>
      </c>
      <c r="I841" s="400"/>
      <c r="J841" s="405"/>
      <c r="K841" s="406"/>
      <c r="L841" s="25">
        <v>0</v>
      </c>
      <c r="M841" s="25">
        <v>100</v>
      </c>
      <c r="N841" s="25">
        <v>80</v>
      </c>
      <c r="O841" s="25">
        <f>SUM(P841:Q841)</f>
        <v>200</v>
      </c>
      <c r="P841" s="25">
        <v>200</v>
      </c>
      <c r="Q841" s="25">
        <v>0</v>
      </c>
      <c r="R841" s="25">
        <f>SUM(S841:T841)</f>
        <v>200</v>
      </c>
      <c r="S841" s="25">
        <v>200</v>
      </c>
      <c r="T841" s="25">
        <v>0</v>
      </c>
      <c r="U841" s="25">
        <f>SUM(V841:W841)</f>
        <v>200</v>
      </c>
      <c r="V841" s="25">
        <v>200</v>
      </c>
      <c r="W841" s="25">
        <v>0</v>
      </c>
    </row>
    <row r="842" spans="1:23">
      <c r="A842" s="235" t="s">
        <v>1541</v>
      </c>
      <c r="B842" s="205"/>
      <c r="C842" s="31"/>
      <c r="D842" s="32"/>
      <c r="E842" s="257"/>
      <c r="F842" s="257"/>
      <c r="G842" s="257"/>
      <c r="H842" s="257">
        <v>320</v>
      </c>
      <c r="I842" s="33"/>
      <c r="J842" s="31"/>
      <c r="K842" s="32"/>
      <c r="L842" s="22">
        <f>L843+L844+L847+L850+L851+L852+L853+L854+L855+L856</f>
        <v>41610.400000000001</v>
      </c>
      <c r="M842" s="22">
        <f>M843+M844+M847+M850+M851+M852+M853+M854+M855+M856+M849</f>
        <v>42044.800000000003</v>
      </c>
      <c r="N842" s="22">
        <f>N843+N844+N847+N850+N851+N852+N853+N854+N855+N856+N849</f>
        <v>33796.400000000001</v>
      </c>
      <c r="O842" s="22">
        <f t="shared" ref="O842:W842" si="330">O843+O844+O847+O850+O851+O852+O853+O854+O855+O856+O849+O846</f>
        <v>38273.899999999994</v>
      </c>
      <c r="P842" s="22">
        <f t="shared" si="330"/>
        <v>38273.899999999994</v>
      </c>
      <c r="Q842" s="22">
        <f t="shared" si="330"/>
        <v>0</v>
      </c>
      <c r="R842" s="22">
        <f t="shared" si="330"/>
        <v>46235.299999999996</v>
      </c>
      <c r="S842" s="22">
        <f t="shared" si="330"/>
        <v>46235.299999999996</v>
      </c>
      <c r="T842" s="22">
        <f t="shared" si="330"/>
        <v>0</v>
      </c>
      <c r="U842" s="22">
        <f t="shared" si="330"/>
        <v>48609</v>
      </c>
      <c r="V842" s="22">
        <f t="shared" si="330"/>
        <v>48609</v>
      </c>
      <c r="W842" s="22">
        <f t="shared" si="330"/>
        <v>0</v>
      </c>
    </row>
    <row r="843" spans="1:23" ht="236.25">
      <c r="A843" s="269" t="s">
        <v>12</v>
      </c>
      <c r="B843" s="229" t="s">
        <v>1458</v>
      </c>
      <c r="C843" s="115"/>
      <c r="D843" s="383"/>
      <c r="E843" s="250">
        <v>10</v>
      </c>
      <c r="F843" s="226" t="s">
        <v>92</v>
      </c>
      <c r="G843" s="250">
        <v>310101100</v>
      </c>
      <c r="H843" s="250">
        <v>320</v>
      </c>
      <c r="I843" s="60" t="s">
        <v>920</v>
      </c>
      <c r="J843" s="199" t="s">
        <v>921</v>
      </c>
      <c r="K843" s="14"/>
      <c r="L843" s="25">
        <v>18671.8</v>
      </c>
      <c r="M843" s="25">
        <v>19542.3</v>
      </c>
      <c r="N843" s="25">
        <v>12968.2</v>
      </c>
      <c r="O843" s="25">
        <f>SUM(P843:Q843)</f>
        <v>18959.7</v>
      </c>
      <c r="P843" s="25">
        <v>18959.7</v>
      </c>
      <c r="Q843" s="25">
        <v>0</v>
      </c>
      <c r="R843" s="25">
        <f>SUM(S843:T843)</f>
        <v>18784.099999999999</v>
      </c>
      <c r="S843" s="25">
        <v>18784.099999999999</v>
      </c>
      <c r="T843" s="25">
        <v>0</v>
      </c>
      <c r="U843" s="25">
        <f>SUM(V843:W843)</f>
        <v>18973.400000000001</v>
      </c>
      <c r="V843" s="25">
        <v>18973.400000000001</v>
      </c>
      <c r="W843" s="25">
        <v>0</v>
      </c>
    </row>
    <row r="844" spans="1:23">
      <c r="A844" s="407" t="s">
        <v>13</v>
      </c>
      <c r="B844" s="127" t="s">
        <v>922</v>
      </c>
      <c r="C844" s="408"/>
      <c r="D844" s="406"/>
      <c r="E844" s="226"/>
      <c r="F844" s="226"/>
      <c r="G844" s="226"/>
      <c r="H844" s="226" t="s">
        <v>176</v>
      </c>
      <c r="I844" s="400" t="s">
        <v>923</v>
      </c>
      <c r="J844" s="401" t="s">
        <v>924</v>
      </c>
      <c r="K844" s="197"/>
      <c r="L844" s="25">
        <f t="shared" ref="L844:W844" si="331">L845</f>
        <v>17647.3</v>
      </c>
      <c r="M844" s="25">
        <f t="shared" si="331"/>
        <v>17610</v>
      </c>
      <c r="N844" s="25">
        <f t="shared" si="331"/>
        <v>17610</v>
      </c>
      <c r="O844" s="25">
        <f t="shared" si="331"/>
        <v>14787.9</v>
      </c>
      <c r="P844" s="25">
        <f t="shared" si="331"/>
        <v>14787.9</v>
      </c>
      <c r="Q844" s="25">
        <f t="shared" si="331"/>
        <v>0</v>
      </c>
      <c r="R844" s="25">
        <f t="shared" si="331"/>
        <v>22982.6</v>
      </c>
      <c r="S844" s="25">
        <f t="shared" si="331"/>
        <v>22982.6</v>
      </c>
      <c r="T844" s="25">
        <f t="shared" si="331"/>
        <v>0</v>
      </c>
      <c r="U844" s="25">
        <f t="shared" si="331"/>
        <v>25104.9</v>
      </c>
      <c r="V844" s="25">
        <f t="shared" si="331"/>
        <v>25104.9</v>
      </c>
      <c r="W844" s="25">
        <f t="shared" si="331"/>
        <v>0</v>
      </c>
    </row>
    <row r="845" spans="1:23" ht="31.5">
      <c r="A845" s="407"/>
      <c r="B845" s="189" t="s">
        <v>925</v>
      </c>
      <c r="C845" s="408"/>
      <c r="D845" s="406"/>
      <c r="E845" s="108" t="s">
        <v>926</v>
      </c>
      <c r="F845" s="108" t="s">
        <v>927</v>
      </c>
      <c r="G845" s="108" t="s">
        <v>322</v>
      </c>
      <c r="H845" s="226"/>
      <c r="I845" s="400"/>
      <c r="J845" s="401"/>
      <c r="K845" s="197"/>
      <c r="L845" s="184">
        <v>17647.3</v>
      </c>
      <c r="M845" s="184">
        <v>17610</v>
      </c>
      <c r="N845" s="184">
        <v>17610</v>
      </c>
      <c r="O845" s="184">
        <f>P845</f>
        <v>14787.9</v>
      </c>
      <c r="P845" s="184">
        <v>14787.9</v>
      </c>
      <c r="Q845" s="184">
        <v>0</v>
      </c>
      <c r="R845" s="184">
        <f>S845</f>
        <v>22982.6</v>
      </c>
      <c r="S845" s="184">
        <v>22982.6</v>
      </c>
      <c r="T845" s="184">
        <v>0</v>
      </c>
      <c r="U845" s="184">
        <f>V845</f>
        <v>25104.9</v>
      </c>
      <c r="V845" s="184">
        <v>25104.9</v>
      </c>
      <c r="W845" s="184">
        <v>0</v>
      </c>
    </row>
    <row r="846" spans="1:23" ht="76.5">
      <c r="A846" s="269" t="s">
        <v>154</v>
      </c>
      <c r="B846" s="191" t="s">
        <v>1459</v>
      </c>
      <c r="C846" s="196"/>
      <c r="D846" s="383"/>
      <c r="E846" s="108" t="s">
        <v>80</v>
      </c>
      <c r="F846" s="108" t="s">
        <v>95</v>
      </c>
      <c r="G846" s="108" t="s">
        <v>1460</v>
      </c>
      <c r="H846" s="226"/>
      <c r="I846" s="400"/>
      <c r="J846" s="389"/>
      <c r="K846" s="197"/>
      <c r="L846" s="184">
        <v>0</v>
      </c>
      <c r="M846" s="184">
        <v>0</v>
      </c>
      <c r="N846" s="184">
        <v>0</v>
      </c>
      <c r="O846" s="184">
        <f>P846+Q846</f>
        <v>700</v>
      </c>
      <c r="P846" s="184">
        <v>700</v>
      </c>
      <c r="Q846" s="184">
        <v>0</v>
      </c>
      <c r="R846" s="184">
        <f>S846+T846</f>
        <v>700</v>
      </c>
      <c r="S846" s="184">
        <v>700</v>
      </c>
      <c r="T846" s="184">
        <v>0</v>
      </c>
      <c r="U846" s="184">
        <f>V846+W846</f>
        <v>700</v>
      </c>
      <c r="V846" s="184">
        <v>700</v>
      </c>
      <c r="W846" s="184">
        <v>0</v>
      </c>
    </row>
    <row r="847" spans="1:23" ht="42.75">
      <c r="A847" s="407" t="s">
        <v>455</v>
      </c>
      <c r="B847" s="620" t="s">
        <v>928</v>
      </c>
      <c r="C847" s="115"/>
      <c r="D847" s="383"/>
      <c r="E847" s="226"/>
      <c r="F847" s="226"/>
      <c r="G847" s="226"/>
      <c r="H847" s="250">
        <v>320</v>
      </c>
      <c r="I847" s="400"/>
      <c r="J847" s="389"/>
      <c r="K847" s="197"/>
      <c r="L847" s="25">
        <f>L848+L849</f>
        <v>58.7</v>
      </c>
      <c r="M847" s="25">
        <f>M848</f>
        <v>0</v>
      </c>
      <c r="N847" s="25">
        <f>N848</f>
        <v>0</v>
      </c>
      <c r="O847" s="25">
        <f>O848</f>
        <v>0</v>
      </c>
      <c r="P847" s="25">
        <f>P848</f>
        <v>0</v>
      </c>
      <c r="Q847" s="25">
        <f t="shared" ref="Q847:W847" si="332">Q848+Q849</f>
        <v>0</v>
      </c>
      <c r="R847" s="25">
        <f>R848</f>
        <v>0</v>
      </c>
      <c r="S847" s="25">
        <f>S848</f>
        <v>0</v>
      </c>
      <c r="T847" s="25">
        <f t="shared" si="332"/>
        <v>0</v>
      </c>
      <c r="U847" s="25">
        <f>U848</f>
        <v>0</v>
      </c>
      <c r="V847" s="25">
        <f>V848</f>
        <v>0</v>
      </c>
      <c r="W847" s="25">
        <f t="shared" si="332"/>
        <v>0</v>
      </c>
    </row>
    <row r="848" spans="1:23" ht="51">
      <c r="A848" s="407"/>
      <c r="B848" s="189" t="s">
        <v>929</v>
      </c>
      <c r="C848" s="115"/>
      <c r="D848" s="383"/>
      <c r="E848" s="108" t="s">
        <v>80</v>
      </c>
      <c r="F848" s="108" t="s">
        <v>95</v>
      </c>
      <c r="G848" s="108" t="s">
        <v>930</v>
      </c>
      <c r="H848" s="250"/>
      <c r="I848" s="400"/>
      <c r="J848" s="389"/>
      <c r="K848" s="14"/>
      <c r="L848" s="184">
        <v>58.7</v>
      </c>
      <c r="M848" s="184">
        <v>0</v>
      </c>
      <c r="N848" s="184">
        <v>0</v>
      </c>
      <c r="O848" s="184">
        <f>P848+Q848</f>
        <v>0</v>
      </c>
      <c r="P848" s="184">
        <v>0</v>
      </c>
      <c r="Q848" s="184">
        <v>0</v>
      </c>
      <c r="R848" s="184">
        <f>S848</f>
        <v>0</v>
      </c>
      <c r="S848" s="184">
        <v>0</v>
      </c>
      <c r="T848" s="184">
        <v>0</v>
      </c>
      <c r="U848" s="184">
        <f>V848</f>
        <v>0</v>
      </c>
      <c r="V848" s="184">
        <v>0</v>
      </c>
      <c r="W848" s="184">
        <v>0</v>
      </c>
    </row>
    <row r="849" spans="1:23" ht="180">
      <c r="A849" s="269" t="s">
        <v>936</v>
      </c>
      <c r="B849" s="190" t="s">
        <v>1461</v>
      </c>
      <c r="C849" s="115"/>
      <c r="D849" s="383"/>
      <c r="E849" s="108" t="s">
        <v>80</v>
      </c>
      <c r="F849" s="108" t="s">
        <v>95</v>
      </c>
      <c r="G849" s="108" t="s">
        <v>931</v>
      </c>
      <c r="H849" s="250"/>
      <c r="I849" s="104" t="s">
        <v>1091</v>
      </c>
      <c r="J849" s="199" t="s">
        <v>932</v>
      </c>
      <c r="K849" s="197"/>
      <c r="L849" s="184">
        <v>0</v>
      </c>
      <c r="M849" s="184">
        <v>285.39999999999998</v>
      </c>
      <c r="N849" s="184">
        <v>0</v>
      </c>
      <c r="O849" s="184">
        <f>P849</f>
        <v>351.2</v>
      </c>
      <c r="P849" s="184">
        <v>351.2</v>
      </c>
      <c r="Q849" s="184">
        <v>0</v>
      </c>
      <c r="R849" s="184">
        <f>S849+T849</f>
        <v>351.2</v>
      </c>
      <c r="S849" s="184">
        <v>351.2</v>
      </c>
      <c r="T849" s="184">
        <v>0</v>
      </c>
      <c r="U849" s="184">
        <f>V849+W849</f>
        <v>351.2</v>
      </c>
      <c r="V849" s="184">
        <v>351.2</v>
      </c>
      <c r="W849" s="184">
        <v>0</v>
      </c>
    </row>
    <row r="850" spans="1:23" ht="108">
      <c r="A850" s="269" t="s">
        <v>940</v>
      </c>
      <c r="B850" s="229" t="s">
        <v>1462</v>
      </c>
      <c r="C850" s="115"/>
      <c r="D850" s="383"/>
      <c r="E850" s="226" t="s">
        <v>80</v>
      </c>
      <c r="F850" s="226" t="s">
        <v>95</v>
      </c>
      <c r="G850" s="226" t="s">
        <v>933</v>
      </c>
      <c r="H850" s="226" t="s">
        <v>176</v>
      </c>
      <c r="I850" s="104" t="s">
        <v>934</v>
      </c>
      <c r="J850" s="192" t="s">
        <v>935</v>
      </c>
      <c r="K850" s="14"/>
      <c r="L850" s="25">
        <v>794.5</v>
      </c>
      <c r="M850" s="25">
        <v>995</v>
      </c>
      <c r="N850" s="25">
        <v>995</v>
      </c>
      <c r="O850" s="25"/>
      <c r="P850" s="25"/>
      <c r="Q850" s="25"/>
      <c r="R850" s="25"/>
      <c r="S850" s="25"/>
      <c r="T850" s="25"/>
      <c r="U850" s="25"/>
      <c r="V850" s="25"/>
      <c r="W850" s="25"/>
    </row>
    <row r="851" spans="1:23" ht="60">
      <c r="A851" s="269" t="s">
        <v>943</v>
      </c>
      <c r="B851" s="190" t="s">
        <v>937</v>
      </c>
      <c r="C851" s="115"/>
      <c r="D851" s="383"/>
      <c r="E851" s="226" t="s">
        <v>80</v>
      </c>
      <c r="F851" s="226" t="s">
        <v>144</v>
      </c>
      <c r="G851" s="226" t="s">
        <v>838</v>
      </c>
      <c r="H851" s="250">
        <v>320</v>
      </c>
      <c r="I851" s="400" t="s">
        <v>938</v>
      </c>
      <c r="J851" s="401" t="s">
        <v>939</v>
      </c>
      <c r="K851" s="402"/>
      <c r="L851" s="25">
        <v>25</v>
      </c>
      <c r="M851" s="25">
        <v>125</v>
      </c>
      <c r="N851" s="25">
        <v>120</v>
      </c>
      <c r="O851" s="25">
        <f>P851</f>
        <v>125</v>
      </c>
      <c r="P851" s="25">
        <v>125</v>
      </c>
      <c r="Q851" s="25">
        <v>0</v>
      </c>
      <c r="R851" s="25">
        <f>S851</f>
        <v>125</v>
      </c>
      <c r="S851" s="25">
        <v>125</v>
      </c>
      <c r="T851" s="25">
        <v>0</v>
      </c>
      <c r="U851" s="25">
        <f>V851</f>
        <v>125</v>
      </c>
      <c r="V851" s="25">
        <v>125</v>
      </c>
      <c r="W851" s="25">
        <v>0</v>
      </c>
    </row>
    <row r="852" spans="1:23" ht="31.5">
      <c r="A852" s="269" t="s">
        <v>946</v>
      </c>
      <c r="B852" s="242" t="s">
        <v>941</v>
      </c>
      <c r="C852" s="115"/>
      <c r="D852" s="383"/>
      <c r="E852" s="226" t="s">
        <v>80</v>
      </c>
      <c r="F852" s="226" t="s">
        <v>144</v>
      </c>
      <c r="G852" s="226" t="s">
        <v>942</v>
      </c>
      <c r="H852" s="226" t="s">
        <v>176</v>
      </c>
      <c r="I852" s="400"/>
      <c r="J852" s="401"/>
      <c r="K852" s="402"/>
      <c r="L852" s="25">
        <v>3417.3</v>
      </c>
      <c r="M852" s="25">
        <v>2522.1</v>
      </c>
      <c r="N852" s="25">
        <v>1634.4</v>
      </c>
      <c r="O852" s="25">
        <f>P852+Q852</f>
        <v>2502.6999999999998</v>
      </c>
      <c r="P852" s="25">
        <v>2502.6999999999998</v>
      </c>
      <c r="Q852" s="25">
        <v>0</v>
      </c>
      <c r="R852" s="25">
        <f>S852+T852</f>
        <v>2452.9</v>
      </c>
      <c r="S852" s="25">
        <v>2452.9</v>
      </c>
      <c r="T852" s="25">
        <v>0</v>
      </c>
      <c r="U852" s="25">
        <f>V852+W852</f>
        <v>2506.5</v>
      </c>
      <c r="V852" s="25">
        <v>2506.5</v>
      </c>
      <c r="W852" s="25">
        <v>0</v>
      </c>
    </row>
    <row r="853" spans="1:23" ht="31.5">
      <c r="A853" s="269" t="s">
        <v>949</v>
      </c>
      <c r="B853" s="242" t="s">
        <v>944</v>
      </c>
      <c r="C853" s="115"/>
      <c r="D853" s="383"/>
      <c r="E853" s="226" t="s">
        <v>80</v>
      </c>
      <c r="F853" s="226" t="s">
        <v>144</v>
      </c>
      <c r="G853" s="226" t="s">
        <v>945</v>
      </c>
      <c r="H853" s="226" t="s">
        <v>176</v>
      </c>
      <c r="I853" s="400"/>
      <c r="J853" s="401"/>
      <c r="K853" s="402"/>
      <c r="L853" s="25">
        <v>795.8</v>
      </c>
      <c r="M853" s="25">
        <v>756</v>
      </c>
      <c r="N853" s="25">
        <v>453.8</v>
      </c>
      <c r="O853" s="25">
        <f>P853+Q853</f>
        <v>663.9</v>
      </c>
      <c r="P853" s="25">
        <v>663.9</v>
      </c>
      <c r="Q853" s="25">
        <v>0</v>
      </c>
      <c r="R853" s="25">
        <f>S853+T853</f>
        <v>657.7</v>
      </c>
      <c r="S853" s="25">
        <v>657.7</v>
      </c>
      <c r="T853" s="25">
        <v>0</v>
      </c>
      <c r="U853" s="25">
        <f>V853+W853</f>
        <v>664.4</v>
      </c>
      <c r="V853" s="25">
        <v>664.4</v>
      </c>
      <c r="W853" s="25">
        <v>0</v>
      </c>
    </row>
    <row r="854" spans="1:23" ht="54">
      <c r="A854" s="269" t="s">
        <v>952</v>
      </c>
      <c r="B854" s="242" t="s">
        <v>1463</v>
      </c>
      <c r="C854" s="115"/>
      <c r="D854" s="383"/>
      <c r="E854" s="226" t="s">
        <v>80</v>
      </c>
      <c r="F854" s="226" t="s">
        <v>144</v>
      </c>
      <c r="G854" s="226" t="s">
        <v>562</v>
      </c>
      <c r="H854" s="226" t="s">
        <v>176</v>
      </c>
      <c r="I854" s="400"/>
      <c r="J854" s="390" t="s">
        <v>947</v>
      </c>
      <c r="K854" s="198" t="s">
        <v>948</v>
      </c>
      <c r="L854" s="25">
        <v>45</v>
      </c>
      <c r="M854" s="25">
        <v>209</v>
      </c>
      <c r="N854" s="25">
        <v>15</v>
      </c>
      <c r="O854" s="25">
        <f>SUM(P854:Q854)</f>
        <v>183.5</v>
      </c>
      <c r="P854" s="25">
        <v>183.5</v>
      </c>
      <c r="Q854" s="25">
        <v>0</v>
      </c>
      <c r="R854" s="25">
        <f>SUM(S854:T854)</f>
        <v>181.8</v>
      </c>
      <c r="S854" s="25">
        <v>181.8</v>
      </c>
      <c r="T854" s="25">
        <v>0</v>
      </c>
      <c r="U854" s="25">
        <f>SUM(V854:W854)</f>
        <v>183.6</v>
      </c>
      <c r="V854" s="25">
        <v>183.6</v>
      </c>
      <c r="W854" s="25">
        <v>0</v>
      </c>
    </row>
    <row r="855" spans="1:23" ht="95.25">
      <c r="A855" s="269" t="s">
        <v>1092</v>
      </c>
      <c r="B855" s="242" t="s">
        <v>1464</v>
      </c>
      <c r="C855" s="115"/>
      <c r="D855" s="383"/>
      <c r="E855" s="226" t="s">
        <v>80</v>
      </c>
      <c r="F855" s="226" t="s">
        <v>144</v>
      </c>
      <c r="G855" s="226" t="s">
        <v>124</v>
      </c>
      <c r="H855" s="226" t="s">
        <v>176</v>
      </c>
      <c r="I855" s="104" t="s">
        <v>950</v>
      </c>
      <c r="J855" s="391" t="s">
        <v>951</v>
      </c>
      <c r="K855" s="197"/>
      <c r="L855" s="25">
        <v>150</v>
      </c>
      <c r="M855" s="25"/>
      <c r="N855" s="25"/>
      <c r="O855" s="25">
        <v>0</v>
      </c>
      <c r="P855" s="25">
        <v>0</v>
      </c>
      <c r="Q855" s="25">
        <v>0</v>
      </c>
      <c r="R855" s="25">
        <v>0</v>
      </c>
      <c r="S855" s="25">
        <v>0</v>
      </c>
      <c r="T855" s="25">
        <v>0</v>
      </c>
      <c r="U855" s="25">
        <v>0</v>
      </c>
      <c r="V855" s="25">
        <v>0</v>
      </c>
      <c r="W855" s="25">
        <v>0</v>
      </c>
    </row>
    <row r="856" spans="1:23" ht="36">
      <c r="A856" s="269" t="s">
        <v>1465</v>
      </c>
      <c r="B856" s="127" t="s">
        <v>1093</v>
      </c>
      <c r="C856" s="115"/>
      <c r="D856" s="383"/>
      <c r="E856" s="226" t="s">
        <v>80</v>
      </c>
      <c r="F856" s="226" t="s">
        <v>95</v>
      </c>
      <c r="G856" s="226" t="s">
        <v>953</v>
      </c>
      <c r="H856" s="226" t="s">
        <v>176</v>
      </c>
      <c r="I856" s="104" t="s">
        <v>954</v>
      </c>
      <c r="J856" s="392" t="s">
        <v>955</v>
      </c>
      <c r="K856" s="197"/>
      <c r="L856" s="25">
        <v>5</v>
      </c>
      <c r="M856" s="25">
        <v>0</v>
      </c>
      <c r="N856" s="25">
        <v>0</v>
      </c>
      <c r="O856" s="25">
        <f>P856</f>
        <v>0</v>
      </c>
      <c r="P856" s="25">
        <v>0</v>
      </c>
      <c r="Q856" s="25">
        <v>0</v>
      </c>
      <c r="R856" s="25">
        <f>S856</f>
        <v>0</v>
      </c>
      <c r="S856" s="25">
        <v>0</v>
      </c>
      <c r="T856" s="25">
        <v>0</v>
      </c>
      <c r="U856" s="25">
        <f>V856</f>
        <v>0</v>
      </c>
      <c r="V856" s="25">
        <v>0</v>
      </c>
      <c r="W856" s="25">
        <v>0</v>
      </c>
    </row>
    <row r="857" spans="1:23">
      <c r="A857" s="235" t="s">
        <v>156</v>
      </c>
      <c r="B857" s="205" t="s">
        <v>228</v>
      </c>
      <c r="C857" s="31"/>
      <c r="D857" s="32"/>
      <c r="E857" s="257"/>
      <c r="F857" s="257"/>
      <c r="G857" s="257"/>
      <c r="H857" s="257">
        <v>360</v>
      </c>
      <c r="I857" s="33"/>
      <c r="J857" s="31"/>
      <c r="K857" s="32"/>
      <c r="L857" s="22">
        <f t="shared" ref="L857:W857" si="333">SUM(L858:L858)</f>
        <v>103.5</v>
      </c>
      <c r="M857" s="22">
        <f t="shared" si="333"/>
        <v>103.5</v>
      </c>
      <c r="N857" s="22">
        <f t="shared" si="333"/>
        <v>103.5</v>
      </c>
      <c r="O857" s="22">
        <f t="shared" si="333"/>
        <v>0</v>
      </c>
      <c r="P857" s="22">
        <f t="shared" si="333"/>
        <v>0</v>
      </c>
      <c r="Q857" s="22">
        <f t="shared" si="333"/>
        <v>0</v>
      </c>
      <c r="R857" s="22">
        <f t="shared" si="333"/>
        <v>0</v>
      </c>
      <c r="S857" s="22">
        <f t="shared" si="333"/>
        <v>0</v>
      </c>
      <c r="T857" s="22">
        <f t="shared" si="333"/>
        <v>0</v>
      </c>
      <c r="U857" s="22">
        <f t="shared" si="333"/>
        <v>0</v>
      </c>
      <c r="V857" s="22">
        <f t="shared" si="333"/>
        <v>0</v>
      </c>
      <c r="W857" s="22">
        <f t="shared" si="333"/>
        <v>0</v>
      </c>
    </row>
    <row r="858" spans="1:23" ht="63">
      <c r="A858" s="269" t="s">
        <v>14</v>
      </c>
      <c r="B858" s="242" t="s">
        <v>1094</v>
      </c>
      <c r="C858" s="115"/>
      <c r="D858" s="383"/>
      <c r="E858" s="226" t="s">
        <v>92</v>
      </c>
      <c r="F858" s="250">
        <v>13</v>
      </c>
      <c r="G858" s="250">
        <v>7770226000</v>
      </c>
      <c r="H858" s="250">
        <v>360</v>
      </c>
      <c r="I858" s="15"/>
      <c r="J858" s="115"/>
      <c r="K858" s="14"/>
      <c r="L858" s="25">
        <v>103.5</v>
      </c>
      <c r="M858" s="25">
        <v>103.5</v>
      </c>
      <c r="N858" s="25">
        <v>103.5</v>
      </c>
      <c r="O858" s="25">
        <f>SUM(P858:Q858)</f>
        <v>0</v>
      </c>
      <c r="P858" s="25">
        <v>0</v>
      </c>
      <c r="Q858" s="25">
        <v>0</v>
      </c>
      <c r="R858" s="25">
        <f>SUM(S858:T858)</f>
        <v>0</v>
      </c>
      <c r="S858" s="25">
        <v>0</v>
      </c>
      <c r="T858" s="25">
        <v>0</v>
      </c>
      <c r="U858" s="25">
        <f>SUM(V858:W858)</f>
        <v>0</v>
      </c>
      <c r="V858" s="25">
        <v>0</v>
      </c>
      <c r="W858" s="25">
        <v>0</v>
      </c>
    </row>
    <row r="859" spans="1:23">
      <c r="A859" s="630" t="s">
        <v>19</v>
      </c>
      <c r="B859" s="421" t="s">
        <v>211</v>
      </c>
      <c r="C859" s="421"/>
      <c r="D859" s="421"/>
      <c r="E859" s="421"/>
      <c r="F859" s="421"/>
      <c r="G859" s="421"/>
      <c r="H859" s="421"/>
      <c r="I859" s="421"/>
      <c r="J859" s="421"/>
      <c r="K859" s="421"/>
      <c r="L859" s="665">
        <f>L860</f>
        <v>10000</v>
      </c>
      <c r="M859" s="665">
        <f t="shared" ref="M859:W859" si="334">M860</f>
        <v>1900</v>
      </c>
      <c r="N859" s="665">
        <f t="shared" si="334"/>
        <v>0</v>
      </c>
      <c r="O859" s="665">
        <f t="shared" si="334"/>
        <v>1668.5</v>
      </c>
      <c r="P859" s="665">
        <f t="shared" si="334"/>
        <v>1668.5</v>
      </c>
      <c r="Q859" s="665">
        <f t="shared" si="334"/>
        <v>0</v>
      </c>
      <c r="R859" s="665">
        <f t="shared" si="334"/>
        <v>1653</v>
      </c>
      <c r="S859" s="665">
        <f t="shared" si="334"/>
        <v>1653</v>
      </c>
      <c r="T859" s="665">
        <f t="shared" si="334"/>
        <v>0</v>
      </c>
      <c r="U859" s="665">
        <f t="shared" si="334"/>
        <v>1669.7</v>
      </c>
      <c r="V859" s="665">
        <f t="shared" si="334"/>
        <v>1669.7</v>
      </c>
      <c r="W859" s="665">
        <f t="shared" si="334"/>
        <v>0</v>
      </c>
    </row>
    <row r="860" spans="1:23" ht="47.25">
      <c r="A860" s="403" t="s">
        <v>17</v>
      </c>
      <c r="B860" s="129" t="s">
        <v>1097</v>
      </c>
      <c r="C860" s="404"/>
      <c r="D860" s="404"/>
      <c r="E860" s="82" t="s">
        <v>93</v>
      </c>
      <c r="F860" s="82" t="s">
        <v>82</v>
      </c>
      <c r="G860" s="82"/>
      <c r="H860" s="40">
        <v>810</v>
      </c>
      <c r="I860" s="400" t="s">
        <v>1466</v>
      </c>
      <c r="J860" s="204" t="s">
        <v>594</v>
      </c>
      <c r="K860" s="404"/>
      <c r="L860" s="25">
        <f>L861+L862+L863+L864</f>
        <v>10000</v>
      </c>
      <c r="M860" s="25">
        <f t="shared" ref="M860:W860" si="335">M861+M862+M863+M864</f>
        <v>1900</v>
      </c>
      <c r="N860" s="25">
        <f t="shared" si="335"/>
        <v>0</v>
      </c>
      <c r="O860" s="25">
        <f t="shared" si="335"/>
        <v>1668.5</v>
      </c>
      <c r="P860" s="25">
        <f t="shared" si="335"/>
        <v>1668.5</v>
      </c>
      <c r="Q860" s="25">
        <f t="shared" si="335"/>
        <v>0</v>
      </c>
      <c r="R860" s="25">
        <f t="shared" si="335"/>
        <v>1653</v>
      </c>
      <c r="S860" s="25">
        <f t="shared" si="335"/>
        <v>1653</v>
      </c>
      <c r="T860" s="25">
        <f t="shared" si="335"/>
        <v>0</v>
      </c>
      <c r="U860" s="25">
        <f t="shared" si="335"/>
        <v>1669.7</v>
      </c>
      <c r="V860" s="25">
        <f t="shared" si="335"/>
        <v>1669.7</v>
      </c>
      <c r="W860" s="25">
        <f t="shared" si="335"/>
        <v>0</v>
      </c>
    </row>
    <row r="861" spans="1:23" ht="25.5">
      <c r="A861" s="403"/>
      <c r="B861" s="200" t="s">
        <v>1095</v>
      </c>
      <c r="C861" s="404"/>
      <c r="D861" s="404"/>
      <c r="E861" s="82" t="s">
        <v>93</v>
      </c>
      <c r="F861" s="82" t="s">
        <v>82</v>
      </c>
      <c r="G861" s="82" t="s">
        <v>1096</v>
      </c>
      <c r="H861" s="40">
        <v>811</v>
      </c>
      <c r="I861" s="400"/>
      <c r="J861" s="394"/>
      <c r="K861" s="404"/>
      <c r="L861" s="184">
        <v>0</v>
      </c>
      <c r="M861" s="184">
        <v>1900</v>
      </c>
      <c r="N861" s="184">
        <v>0</v>
      </c>
      <c r="O861" s="184">
        <f>P861</f>
        <v>1668.5</v>
      </c>
      <c r="P861" s="184">
        <v>1668.5</v>
      </c>
      <c r="Q861" s="184">
        <v>0</v>
      </c>
      <c r="R861" s="184">
        <f>S861</f>
        <v>1653</v>
      </c>
      <c r="S861" s="184">
        <v>1653</v>
      </c>
      <c r="T861" s="184">
        <v>0</v>
      </c>
      <c r="U861" s="184">
        <f>V861</f>
        <v>1669.7</v>
      </c>
      <c r="V861" s="184">
        <v>1669.7</v>
      </c>
      <c r="W861" s="184">
        <v>0</v>
      </c>
    </row>
    <row r="862" spans="1:23" ht="38.25">
      <c r="A862" s="403"/>
      <c r="B862" s="200" t="s">
        <v>1467</v>
      </c>
      <c r="C862" s="404"/>
      <c r="D862" s="404"/>
      <c r="E862" s="82" t="s">
        <v>93</v>
      </c>
      <c r="F862" s="82" t="s">
        <v>82</v>
      </c>
      <c r="G862" s="82" t="s">
        <v>1468</v>
      </c>
      <c r="H862" s="40">
        <v>811</v>
      </c>
      <c r="I862" s="400"/>
      <c r="J862" s="204" t="s">
        <v>1469</v>
      </c>
      <c r="K862" s="404"/>
      <c r="L862" s="25">
        <v>6811.5</v>
      </c>
      <c r="M862" s="25">
        <f>M863+M864</f>
        <v>0</v>
      </c>
      <c r="N862" s="25">
        <f>N863+N864</f>
        <v>0</v>
      </c>
      <c r="O862" s="25">
        <v>0</v>
      </c>
      <c r="P862" s="25">
        <v>0</v>
      </c>
      <c r="Q862" s="25">
        <v>0</v>
      </c>
      <c r="R862" s="25">
        <v>0</v>
      </c>
      <c r="S862" s="25">
        <v>0</v>
      </c>
      <c r="T862" s="25">
        <v>0</v>
      </c>
      <c r="U862" s="25">
        <v>0</v>
      </c>
      <c r="V862" s="25">
        <v>0</v>
      </c>
      <c r="W862" s="25">
        <v>0</v>
      </c>
    </row>
    <row r="863" spans="1:23" ht="63.75">
      <c r="A863" s="403"/>
      <c r="B863" s="200" t="s">
        <v>1470</v>
      </c>
      <c r="C863" s="404"/>
      <c r="D863" s="404"/>
      <c r="E863" s="82" t="s">
        <v>93</v>
      </c>
      <c r="F863" s="82" t="s">
        <v>82</v>
      </c>
      <c r="G863" s="82" t="s">
        <v>1471</v>
      </c>
      <c r="H863" s="40">
        <v>811</v>
      </c>
      <c r="I863" s="400"/>
      <c r="J863" s="204" t="s">
        <v>1472</v>
      </c>
      <c r="K863" s="404"/>
      <c r="L863" s="184">
        <v>1529.4</v>
      </c>
      <c r="M863" s="184">
        <v>0</v>
      </c>
      <c r="N863" s="184">
        <v>0</v>
      </c>
      <c r="O863" s="184">
        <v>0</v>
      </c>
      <c r="P863" s="184">
        <v>0</v>
      </c>
      <c r="Q863" s="184">
        <v>0</v>
      </c>
      <c r="R863" s="184">
        <v>0</v>
      </c>
      <c r="S863" s="184">
        <v>0</v>
      </c>
      <c r="T863" s="184">
        <v>0</v>
      </c>
      <c r="U863" s="184">
        <v>0</v>
      </c>
      <c r="V863" s="184">
        <v>0</v>
      </c>
      <c r="W863" s="184">
        <v>0</v>
      </c>
    </row>
    <row r="864" spans="1:23" ht="63.75">
      <c r="A864" s="403"/>
      <c r="B864" s="200" t="s">
        <v>1473</v>
      </c>
      <c r="C864" s="404"/>
      <c r="D864" s="404"/>
      <c r="E864" s="82" t="s">
        <v>93</v>
      </c>
      <c r="F864" s="82" t="s">
        <v>82</v>
      </c>
      <c r="G864" s="82" t="s">
        <v>1474</v>
      </c>
      <c r="H864" s="40">
        <v>811</v>
      </c>
      <c r="I864" s="400"/>
      <c r="J864" s="204"/>
      <c r="K864" s="404"/>
      <c r="L864" s="184">
        <v>1659.1</v>
      </c>
      <c r="M864" s="184">
        <v>0</v>
      </c>
      <c r="N864" s="184">
        <v>0</v>
      </c>
      <c r="O864" s="184">
        <v>0</v>
      </c>
      <c r="P864" s="184">
        <v>0</v>
      </c>
      <c r="Q864" s="184">
        <v>0</v>
      </c>
      <c r="R864" s="184">
        <v>0</v>
      </c>
      <c r="S864" s="184">
        <v>0</v>
      </c>
      <c r="T864" s="184">
        <v>0</v>
      </c>
      <c r="U864" s="184">
        <v>0</v>
      </c>
      <c r="V864" s="184">
        <v>0</v>
      </c>
      <c r="W864" s="184">
        <v>0</v>
      </c>
    </row>
    <row r="865" spans="1:23">
      <c r="A865" s="630" t="s">
        <v>23</v>
      </c>
      <c r="B865" s="421" t="s">
        <v>79</v>
      </c>
      <c r="C865" s="421"/>
      <c r="D865" s="421"/>
      <c r="E865" s="421"/>
      <c r="F865" s="421"/>
      <c r="G865" s="421"/>
      <c r="H865" s="421"/>
      <c r="I865" s="421"/>
      <c r="J865" s="421"/>
      <c r="K865" s="421"/>
      <c r="L865" s="665">
        <f>L866+L867</f>
        <v>1810.7</v>
      </c>
      <c r="M865" s="665">
        <f>M866+M867</f>
        <v>588.5</v>
      </c>
      <c r="N865" s="665">
        <f>N866+N867</f>
        <v>588.5</v>
      </c>
      <c r="O865" s="665">
        <f t="shared" ref="O865:W865" si="336">O866</f>
        <v>0</v>
      </c>
      <c r="P865" s="665">
        <f t="shared" si="336"/>
        <v>0</v>
      </c>
      <c r="Q865" s="665">
        <f t="shared" si="336"/>
        <v>0</v>
      </c>
      <c r="R865" s="665">
        <f t="shared" si="336"/>
        <v>0</v>
      </c>
      <c r="S865" s="665">
        <f t="shared" si="336"/>
        <v>0</v>
      </c>
      <c r="T865" s="665">
        <f t="shared" si="336"/>
        <v>0</v>
      </c>
      <c r="U865" s="665">
        <f t="shared" si="336"/>
        <v>0</v>
      </c>
      <c r="V865" s="665">
        <f t="shared" si="336"/>
        <v>0</v>
      </c>
      <c r="W865" s="665">
        <f t="shared" si="336"/>
        <v>0</v>
      </c>
    </row>
    <row r="866" spans="1:23" ht="56.25">
      <c r="A866" s="225" t="s">
        <v>17</v>
      </c>
      <c r="B866" s="229" t="s">
        <v>1475</v>
      </c>
      <c r="C866" s="110"/>
      <c r="D866" s="257"/>
      <c r="E866" s="226" t="s">
        <v>92</v>
      </c>
      <c r="F866" s="226" t="s">
        <v>83</v>
      </c>
      <c r="G866" s="226" t="s">
        <v>94</v>
      </c>
      <c r="H866" s="434">
        <v>830</v>
      </c>
      <c r="I866" s="399" t="s">
        <v>956</v>
      </c>
      <c r="J866" s="399" t="s">
        <v>957</v>
      </c>
      <c r="K866" s="110"/>
      <c r="L866" s="201">
        <v>1708.9</v>
      </c>
      <c r="M866" s="201">
        <v>588.5</v>
      </c>
      <c r="N866" s="201">
        <v>588.5</v>
      </c>
      <c r="O866" s="37">
        <f>SUM(P866:Q866)</f>
        <v>0</v>
      </c>
      <c r="P866" s="37">
        <v>0</v>
      </c>
      <c r="Q866" s="37">
        <v>0</v>
      </c>
      <c r="R866" s="37">
        <f>SUM(S866:T866)</f>
        <v>0</v>
      </c>
      <c r="S866" s="37">
        <v>0</v>
      </c>
      <c r="T866" s="37">
        <v>0</v>
      </c>
      <c r="U866" s="37">
        <f>SUM(V866:W866)</f>
        <v>0</v>
      </c>
      <c r="V866" s="37">
        <v>0</v>
      </c>
      <c r="W866" s="37">
        <v>0</v>
      </c>
    </row>
    <row r="867" spans="1:23" ht="33.75">
      <c r="A867" s="225" t="s">
        <v>18</v>
      </c>
      <c r="B867" s="229" t="s">
        <v>1476</v>
      </c>
      <c r="C867" s="110"/>
      <c r="D867" s="257"/>
      <c r="E867" s="226" t="s">
        <v>93</v>
      </c>
      <c r="F867" s="226" t="s">
        <v>82</v>
      </c>
      <c r="G867" s="226" t="s">
        <v>764</v>
      </c>
      <c r="H867" s="434"/>
      <c r="I867" s="399"/>
      <c r="J867" s="399"/>
      <c r="K867" s="110"/>
      <c r="L867" s="201">
        <v>101.8</v>
      </c>
      <c r="M867" s="201"/>
      <c r="N867" s="201"/>
      <c r="O867" s="37">
        <v>0</v>
      </c>
      <c r="P867" s="37">
        <v>0</v>
      </c>
      <c r="Q867" s="37">
        <v>0</v>
      </c>
      <c r="R867" s="37">
        <v>0</v>
      </c>
      <c r="S867" s="37">
        <v>0</v>
      </c>
      <c r="T867" s="37">
        <v>0</v>
      </c>
      <c r="U867" s="37">
        <v>0</v>
      </c>
      <c r="V867" s="37">
        <v>0</v>
      </c>
      <c r="W867" s="37">
        <v>0</v>
      </c>
    </row>
    <row r="868" spans="1:23">
      <c r="A868" s="630" t="s">
        <v>56</v>
      </c>
      <c r="B868" s="421" t="s">
        <v>31</v>
      </c>
      <c r="C868" s="421"/>
      <c r="D868" s="421"/>
      <c r="E868" s="421"/>
      <c r="F868" s="421"/>
      <c r="G868" s="421"/>
      <c r="H868" s="421"/>
      <c r="I868" s="421"/>
      <c r="J868" s="421"/>
      <c r="K868" s="421"/>
      <c r="L868" s="665">
        <f>L869</f>
        <v>988.4</v>
      </c>
      <c r="M868" s="665">
        <f t="shared" ref="M868:W868" si="337">M869</f>
        <v>4306.8999999999996</v>
      </c>
      <c r="N868" s="665">
        <f t="shared" si="337"/>
        <v>410.4</v>
      </c>
      <c r="O868" s="665">
        <f t="shared" si="337"/>
        <v>8239</v>
      </c>
      <c r="P868" s="665">
        <f t="shared" si="337"/>
        <v>8239</v>
      </c>
      <c r="Q868" s="665">
        <f t="shared" si="337"/>
        <v>0</v>
      </c>
      <c r="R868" s="665">
        <f t="shared" si="337"/>
        <v>4132.5</v>
      </c>
      <c r="S868" s="665">
        <f t="shared" si="337"/>
        <v>4132.5</v>
      </c>
      <c r="T868" s="665">
        <f t="shared" si="337"/>
        <v>0</v>
      </c>
      <c r="U868" s="665">
        <f t="shared" si="337"/>
        <v>4174.1000000000004</v>
      </c>
      <c r="V868" s="665">
        <f t="shared" si="337"/>
        <v>4174.1000000000004</v>
      </c>
      <c r="W868" s="665">
        <f t="shared" si="337"/>
        <v>0</v>
      </c>
    </row>
    <row r="869" spans="1:23" ht="75">
      <c r="A869" s="225" t="s">
        <v>21</v>
      </c>
      <c r="B869" s="229" t="s">
        <v>1477</v>
      </c>
      <c r="C869" s="110"/>
      <c r="D869" s="257"/>
      <c r="E869" s="226" t="s">
        <v>92</v>
      </c>
      <c r="F869" s="226" t="s">
        <v>83</v>
      </c>
      <c r="G869" s="226" t="s">
        <v>94</v>
      </c>
      <c r="H869" s="226" t="s">
        <v>598</v>
      </c>
      <c r="I869" s="202" t="s">
        <v>958</v>
      </c>
      <c r="J869" s="202" t="s">
        <v>957</v>
      </c>
      <c r="K869" s="110"/>
      <c r="L869" s="69">
        <v>988.4</v>
      </c>
      <c r="M869" s="69">
        <v>4306.8999999999996</v>
      </c>
      <c r="N869" s="69">
        <v>410.4</v>
      </c>
      <c r="O869" s="69">
        <f>P869+Q869</f>
        <v>8239</v>
      </c>
      <c r="P869" s="69">
        <v>8239</v>
      </c>
      <c r="Q869" s="69">
        <v>0</v>
      </c>
      <c r="R869" s="69">
        <f>S869</f>
        <v>4132.5</v>
      </c>
      <c r="S869" s="69">
        <v>4132.5</v>
      </c>
      <c r="T869" s="69">
        <v>0</v>
      </c>
      <c r="U869" s="69">
        <f>V869</f>
        <v>4174.1000000000004</v>
      </c>
      <c r="V869" s="69">
        <v>4174.1000000000004</v>
      </c>
      <c r="W869" s="69">
        <v>0</v>
      </c>
    </row>
    <row r="870" spans="1:23">
      <c r="A870" s="642"/>
      <c r="B870" s="357"/>
      <c r="C870" s="358"/>
      <c r="D870" s="359"/>
      <c r="E870" s="359"/>
      <c r="F870" s="359"/>
      <c r="G870" s="359"/>
      <c r="H870" s="360"/>
      <c r="I870" s="357"/>
      <c r="J870" s="361"/>
      <c r="K870" s="359"/>
      <c r="L870" s="362"/>
      <c r="M870" s="362"/>
      <c r="N870" s="362"/>
      <c r="O870" s="362"/>
      <c r="P870" s="362"/>
      <c r="Q870" s="362"/>
      <c r="R870" s="362"/>
      <c r="S870" s="362"/>
      <c r="T870" s="362"/>
      <c r="U870" s="362"/>
      <c r="V870" s="362"/>
      <c r="W870" s="362"/>
    </row>
    <row r="871" spans="1:23">
      <c r="A871" s="642"/>
      <c r="B871" s="357"/>
      <c r="C871" s="358"/>
      <c r="D871" s="359"/>
      <c r="E871" s="359"/>
      <c r="F871" s="359"/>
      <c r="G871" s="359"/>
      <c r="H871" s="360"/>
      <c r="I871" s="357"/>
      <c r="J871" s="361"/>
      <c r="K871" s="359"/>
      <c r="L871" s="362"/>
      <c r="M871" s="362"/>
      <c r="N871" s="362"/>
      <c r="O871" s="362"/>
      <c r="P871" s="362"/>
      <c r="Q871" s="362"/>
      <c r="R871" s="362"/>
      <c r="S871" s="362"/>
      <c r="T871" s="362"/>
      <c r="U871" s="362"/>
      <c r="V871" s="362"/>
      <c r="W871" s="362"/>
    </row>
    <row r="872" spans="1:23">
      <c r="B872" s="363" t="s">
        <v>397</v>
      </c>
      <c r="C872" s="364"/>
      <c r="D872" s="365"/>
      <c r="E872" s="366"/>
      <c r="G872" s="502" t="s">
        <v>1100</v>
      </c>
      <c r="H872" s="502"/>
      <c r="I872" s="368"/>
    </row>
    <row r="873" spans="1:23">
      <c r="B873" s="363" t="s">
        <v>223</v>
      </c>
      <c r="C873" s="369"/>
      <c r="D873" s="366"/>
      <c r="E873" s="366"/>
      <c r="F873" s="366"/>
      <c r="G873" s="366"/>
      <c r="H873" s="366"/>
      <c r="I873" s="368"/>
    </row>
    <row r="874" spans="1:23">
      <c r="B874" s="363"/>
      <c r="C874" s="369"/>
      <c r="D874" s="366"/>
      <c r="E874" s="366"/>
      <c r="F874" s="366"/>
      <c r="G874" s="366"/>
      <c r="H874" s="366"/>
      <c r="I874" s="368"/>
    </row>
    <row r="875" spans="1:23">
      <c r="B875" s="363" t="s">
        <v>292</v>
      </c>
      <c r="C875" s="369"/>
      <c r="D875" s="370" t="s">
        <v>91</v>
      </c>
      <c r="E875" s="366"/>
      <c r="F875" s="366"/>
      <c r="G875" s="371" t="s">
        <v>1529</v>
      </c>
      <c r="H875" s="366"/>
      <c r="I875" s="368"/>
    </row>
    <row r="876" spans="1:23">
      <c r="B876" s="275" t="s">
        <v>293</v>
      </c>
    </row>
    <row r="877" spans="1:23">
      <c r="A877" s="642"/>
      <c r="B877" s="357"/>
      <c r="C877" s="358"/>
      <c r="D877" s="359"/>
      <c r="E877" s="359"/>
      <c r="F877" s="359"/>
      <c r="G877" s="359"/>
      <c r="H877" s="360"/>
      <c r="I877" s="357"/>
      <c r="J877" s="361"/>
      <c r="K877" s="359"/>
      <c r="L877" s="362"/>
      <c r="M877" s="362"/>
      <c r="N877" s="362"/>
      <c r="O877" s="362"/>
      <c r="P877" s="362"/>
      <c r="Q877" s="362"/>
      <c r="R877" s="362"/>
      <c r="S877" s="362"/>
      <c r="T877" s="362"/>
      <c r="U877" s="362"/>
      <c r="V877" s="362"/>
      <c r="W877" s="362"/>
    </row>
    <row r="878" spans="1:23">
      <c r="B878" s="363"/>
      <c r="C878" s="369"/>
      <c r="D878" s="366"/>
      <c r="E878" s="366"/>
      <c r="F878" s="366"/>
      <c r="G878" s="366"/>
      <c r="H878" s="366"/>
      <c r="I878" s="368"/>
    </row>
    <row r="879" spans="1:23">
      <c r="B879" s="363"/>
      <c r="C879" s="369"/>
      <c r="D879" s="370"/>
      <c r="E879" s="366"/>
      <c r="F879" s="366"/>
      <c r="G879" s="371"/>
      <c r="H879" s="366"/>
      <c r="I879" s="368"/>
    </row>
    <row r="881" spans="1:23">
      <c r="A881" s="642"/>
      <c r="B881" s="357"/>
      <c r="C881" s="358"/>
      <c r="D881" s="359"/>
      <c r="E881" s="359"/>
      <c r="F881" s="359"/>
      <c r="G881" s="359"/>
      <c r="H881" s="360"/>
      <c r="I881" s="357"/>
      <c r="J881" s="361"/>
      <c r="K881" s="359"/>
      <c r="L881" s="362"/>
      <c r="M881" s="362"/>
      <c r="N881" s="362"/>
      <c r="O881" s="362"/>
      <c r="P881" s="362"/>
      <c r="Q881" s="362"/>
      <c r="R881" s="362"/>
      <c r="S881" s="362"/>
      <c r="T881" s="362"/>
      <c r="U881" s="362"/>
      <c r="V881" s="362"/>
      <c r="W881" s="362"/>
    </row>
    <row r="882" spans="1:23">
      <c r="A882" s="642"/>
      <c r="B882" s="357"/>
      <c r="C882" s="358"/>
      <c r="D882" s="359"/>
      <c r="E882" s="359"/>
      <c r="F882" s="359"/>
      <c r="G882" s="359"/>
      <c r="H882" s="360"/>
      <c r="I882" s="357"/>
      <c r="J882" s="361"/>
      <c r="K882" s="359"/>
      <c r="L882" s="362"/>
      <c r="M882" s="362"/>
      <c r="N882" s="362"/>
      <c r="O882" s="362"/>
      <c r="P882" s="362"/>
      <c r="Q882" s="362"/>
      <c r="R882" s="362"/>
      <c r="S882" s="362"/>
      <c r="T882" s="362"/>
      <c r="U882" s="362"/>
      <c r="V882" s="362"/>
      <c r="W882" s="362"/>
    </row>
    <row r="883" spans="1:23">
      <c r="A883" s="642"/>
      <c r="B883" s="357"/>
      <c r="C883" s="358"/>
      <c r="D883" s="359"/>
      <c r="E883" s="359"/>
      <c r="F883" s="359"/>
      <c r="G883" s="359"/>
      <c r="H883" s="360"/>
      <c r="I883" s="357"/>
      <c r="J883" s="361"/>
      <c r="K883" s="359"/>
      <c r="L883" s="362"/>
      <c r="M883" s="362"/>
      <c r="N883" s="362"/>
      <c r="O883" s="362"/>
      <c r="P883" s="362"/>
      <c r="Q883" s="362"/>
      <c r="R883" s="362"/>
      <c r="S883" s="362"/>
      <c r="T883" s="362"/>
      <c r="U883" s="362"/>
      <c r="V883" s="362"/>
      <c r="W883" s="362"/>
    </row>
    <row r="884" spans="1:23">
      <c r="A884" s="642"/>
      <c r="B884" s="357"/>
      <c r="C884" s="358"/>
      <c r="D884" s="359"/>
      <c r="E884" s="359"/>
      <c r="F884" s="359"/>
      <c r="G884" s="359"/>
      <c r="H884" s="360"/>
      <c r="I884" s="357"/>
      <c r="J884" s="361"/>
      <c r="K884" s="359"/>
      <c r="L884" s="362"/>
      <c r="M884" s="362"/>
      <c r="N884" s="362"/>
      <c r="O884" s="362"/>
      <c r="P884" s="362"/>
      <c r="Q884" s="362"/>
      <c r="R884" s="362"/>
      <c r="S884" s="362"/>
      <c r="T884" s="362"/>
      <c r="U884" s="362"/>
      <c r="V884" s="362"/>
      <c r="W884" s="362"/>
    </row>
    <row r="885" spans="1:23">
      <c r="A885" s="642"/>
      <c r="B885" s="357"/>
      <c r="C885" s="358"/>
      <c r="D885" s="359"/>
      <c r="E885" s="359"/>
      <c r="F885" s="359"/>
      <c r="G885" s="359"/>
      <c r="H885" s="360"/>
      <c r="I885" s="357"/>
      <c r="J885" s="361"/>
      <c r="K885" s="359"/>
      <c r="L885" s="362"/>
      <c r="M885" s="362"/>
      <c r="N885" s="362"/>
      <c r="O885" s="362"/>
      <c r="P885" s="362"/>
      <c r="Q885" s="362"/>
      <c r="R885" s="362"/>
      <c r="S885" s="362"/>
      <c r="T885" s="362"/>
      <c r="U885" s="362"/>
      <c r="V885" s="362"/>
      <c r="W885" s="362"/>
    </row>
  </sheetData>
  <autoFilter ref="A12:W869">
    <filterColumn colId="0"/>
    <filterColumn colId="4"/>
    <filterColumn colId="5"/>
    <filterColumn colId="6"/>
  </autoFilter>
  <mergeCells count="476">
    <mergeCell ref="A638:K638"/>
    <mergeCell ref="A639:K639"/>
    <mergeCell ref="A625:K625"/>
    <mergeCell ref="A633:K633"/>
    <mergeCell ref="I85:I87"/>
    <mergeCell ref="J85:J87"/>
    <mergeCell ref="I88:I91"/>
    <mergeCell ref="J88:J90"/>
    <mergeCell ref="B104:K104"/>
    <mergeCell ref="I106:I108"/>
    <mergeCell ref="A110:K110"/>
    <mergeCell ref="B546:K546"/>
    <mergeCell ref="A550:K550"/>
    <mergeCell ref="B229:K229"/>
    <mergeCell ref="I231:I233"/>
    <mergeCell ref="A236:K236"/>
    <mergeCell ref="B38:K38"/>
    <mergeCell ref="B43:K43"/>
    <mergeCell ref="I45:I48"/>
    <mergeCell ref="J45:J48"/>
    <mergeCell ref="K45:K48"/>
    <mergeCell ref="I55:I57"/>
    <mergeCell ref="I58:I65"/>
    <mergeCell ref="J58:J60"/>
    <mergeCell ref="K58:K60"/>
    <mergeCell ref="I586:I587"/>
    <mergeCell ref="J586:J587"/>
    <mergeCell ref="B363:K363"/>
    <mergeCell ref="B370:K370"/>
    <mergeCell ref="B337:K337"/>
    <mergeCell ref="J339:J341"/>
    <mergeCell ref="A583:K583"/>
    <mergeCell ref="A584:K584"/>
    <mergeCell ref="A555:K555"/>
    <mergeCell ref="A563:K563"/>
    <mergeCell ref="B567:K567"/>
    <mergeCell ref="B569:K569"/>
    <mergeCell ref="B571:K571"/>
    <mergeCell ref="A324:K324"/>
    <mergeCell ref="I329:I330"/>
    <mergeCell ref="J329:J330"/>
    <mergeCell ref="I332:I333"/>
    <mergeCell ref="J332:J333"/>
    <mergeCell ref="I339:I341"/>
    <mergeCell ref="A344:K344"/>
    <mergeCell ref="A347:A348"/>
    <mergeCell ref="B347:B348"/>
    <mergeCell ref="C347:C348"/>
    <mergeCell ref="D347:D348"/>
    <mergeCell ref="E347:E348"/>
    <mergeCell ref="F347:F348"/>
    <mergeCell ref="I320:I321"/>
    <mergeCell ref="A298:K298"/>
    <mergeCell ref="B299:G299"/>
    <mergeCell ref="B300:G300"/>
    <mergeCell ref="B303:G303"/>
    <mergeCell ref="B304:G304"/>
    <mergeCell ref="C305:C306"/>
    <mergeCell ref="I305:I306"/>
    <mergeCell ref="J305:J306"/>
    <mergeCell ref="C308:C312"/>
    <mergeCell ref="I308:I312"/>
    <mergeCell ref="J308:J311"/>
    <mergeCell ref="B314:G314"/>
    <mergeCell ref="B315:G315"/>
    <mergeCell ref="B318:K318"/>
    <mergeCell ref="J320:J322"/>
    <mergeCell ref="B71:K71"/>
    <mergeCell ref="I73:I76"/>
    <mergeCell ref="J73:J76"/>
    <mergeCell ref="A78:K78"/>
    <mergeCell ref="B14:K14"/>
    <mergeCell ref="I16:I18"/>
    <mergeCell ref="J16:J18"/>
    <mergeCell ref="A19:K19"/>
    <mergeCell ref="A26:K26"/>
    <mergeCell ref="I27:I28"/>
    <mergeCell ref="J27:J28"/>
    <mergeCell ref="B32:K32"/>
    <mergeCell ref="B34:K34"/>
    <mergeCell ref="G872:H872"/>
    <mergeCell ref="U10:W10"/>
    <mergeCell ref="P1:W2"/>
    <mergeCell ref="F7:F9"/>
    <mergeCell ref="M8:M9"/>
    <mergeCell ref="B203:K203"/>
    <mergeCell ref="B167:K167"/>
    <mergeCell ref="I168:I172"/>
    <mergeCell ref="J168:J172"/>
    <mergeCell ref="A174:K174"/>
    <mergeCell ref="I181:I182"/>
    <mergeCell ref="J181:J182"/>
    <mergeCell ref="I183:I187"/>
    <mergeCell ref="J183:J187"/>
    <mergeCell ref="E7:E9"/>
    <mergeCell ref="L8:L9"/>
    <mergeCell ref="A6:A9"/>
    <mergeCell ref="G7:G9"/>
    <mergeCell ref="H7:H9"/>
    <mergeCell ref="E6:H6"/>
    <mergeCell ref="O10:Q10"/>
    <mergeCell ref="R10:T10"/>
    <mergeCell ref="B3:V3"/>
    <mergeCell ref="L6:W7"/>
    <mergeCell ref="U8:W8"/>
    <mergeCell ref="B6:B9"/>
    <mergeCell ref="J6:J9"/>
    <mergeCell ref="C6:C9"/>
    <mergeCell ref="D6:D9"/>
    <mergeCell ref="O8:Q8"/>
    <mergeCell ref="R8:T8"/>
    <mergeCell ref="N8:N9"/>
    <mergeCell ref="K6:K9"/>
    <mergeCell ref="I6:I9"/>
    <mergeCell ref="A576:A579"/>
    <mergeCell ref="B576:B579"/>
    <mergeCell ref="C576:C579"/>
    <mergeCell ref="I576:I579"/>
    <mergeCell ref="J576:J579"/>
    <mergeCell ref="K576:K579"/>
    <mergeCell ref="A580:A582"/>
    <mergeCell ref="B580:B582"/>
    <mergeCell ref="C580:C582"/>
    <mergeCell ref="I580:I582"/>
    <mergeCell ref="J580:J582"/>
    <mergeCell ref="K580:K582"/>
    <mergeCell ref="A597:A616"/>
    <mergeCell ref="B597:B616"/>
    <mergeCell ref="C597:C616"/>
    <mergeCell ref="I597:I616"/>
    <mergeCell ref="J597:J616"/>
    <mergeCell ref="K597:K616"/>
    <mergeCell ref="A617:K617"/>
    <mergeCell ref="B620:K620"/>
    <mergeCell ref="A586:A587"/>
    <mergeCell ref="B586:B587"/>
    <mergeCell ref="K586:K587"/>
    <mergeCell ref="A588:K588"/>
    <mergeCell ref="A590:A595"/>
    <mergeCell ref="B590:B595"/>
    <mergeCell ref="I590:I595"/>
    <mergeCell ref="J590:J595"/>
    <mergeCell ref="K590:K595"/>
    <mergeCell ref="C593:C595"/>
    <mergeCell ref="I641:I646"/>
    <mergeCell ref="J643:J646"/>
    <mergeCell ref="K643:K646"/>
    <mergeCell ref="A650:A651"/>
    <mergeCell ref="B650:B652"/>
    <mergeCell ref="C650:C651"/>
    <mergeCell ref="D650:D651"/>
    <mergeCell ref="E650:E651"/>
    <mergeCell ref="F650:F651"/>
    <mergeCell ref="G650:G651"/>
    <mergeCell ref="H650:H651"/>
    <mergeCell ref="I650:I651"/>
    <mergeCell ref="J650:J651"/>
    <mergeCell ref="K650:K651"/>
    <mergeCell ref="B574:K574"/>
    <mergeCell ref="A523:A525"/>
    <mergeCell ref="C523:C525"/>
    <mergeCell ref="I525:I533"/>
    <mergeCell ref="A526:A539"/>
    <mergeCell ref="C526:C539"/>
    <mergeCell ref="A502:A505"/>
    <mergeCell ref="B502:B505"/>
    <mergeCell ref="C502:C505"/>
    <mergeCell ref="A506:A509"/>
    <mergeCell ref="I154:I162"/>
    <mergeCell ref="J154:J162"/>
    <mergeCell ref="C159:C162"/>
    <mergeCell ref="B137:K137"/>
    <mergeCell ref="I139:I140"/>
    <mergeCell ref="J139:J140"/>
    <mergeCell ref="A143:K143"/>
    <mergeCell ref="I145:I146"/>
    <mergeCell ref="J145:J146"/>
    <mergeCell ref="I148:I149"/>
    <mergeCell ref="J148:J149"/>
    <mergeCell ref="C150:C153"/>
    <mergeCell ref="I150:I153"/>
    <mergeCell ref="J150:J153"/>
    <mergeCell ref="A207:K207"/>
    <mergeCell ref="I209:I210"/>
    <mergeCell ref="J209:J210"/>
    <mergeCell ref="I212:I213"/>
    <mergeCell ref="J212:J213"/>
    <mergeCell ref="I216:I221"/>
    <mergeCell ref="J216:J221"/>
    <mergeCell ref="I224:I225"/>
    <mergeCell ref="J224:J225"/>
    <mergeCell ref="B226:K226"/>
    <mergeCell ref="A265:B265"/>
    <mergeCell ref="I267:I270"/>
    <mergeCell ref="J267:J268"/>
    <mergeCell ref="K267:K268"/>
    <mergeCell ref="A271:K271"/>
    <mergeCell ref="I276:I277"/>
    <mergeCell ref="J276:J277"/>
    <mergeCell ref="K276:K277"/>
    <mergeCell ref="B264:K264"/>
    <mergeCell ref="I273:I274"/>
    <mergeCell ref="J273:J274"/>
    <mergeCell ref="K273:K274"/>
    <mergeCell ref="J278:J285"/>
    <mergeCell ref="K278:K285"/>
    <mergeCell ref="I286:I287"/>
    <mergeCell ref="J286:J287"/>
    <mergeCell ref="K286:K287"/>
    <mergeCell ref="C291:K291"/>
    <mergeCell ref="A294:A295"/>
    <mergeCell ref="B294:B295"/>
    <mergeCell ref="C294:C295"/>
    <mergeCell ref="H294:H295"/>
    <mergeCell ref="I294:I297"/>
    <mergeCell ref="J294:J297"/>
    <mergeCell ref="A296:A297"/>
    <mergeCell ref="B296:B297"/>
    <mergeCell ref="C296:C297"/>
    <mergeCell ref="H296:H297"/>
    <mergeCell ref="I278:I285"/>
    <mergeCell ref="B292:K292"/>
    <mergeCell ref="G347:G348"/>
    <mergeCell ref="H347:H348"/>
    <mergeCell ref="I347:I348"/>
    <mergeCell ref="J347:J348"/>
    <mergeCell ref="K347:K348"/>
    <mergeCell ref="L347:L348"/>
    <mergeCell ref="M347:M348"/>
    <mergeCell ref="N347:N348"/>
    <mergeCell ref="O347:O348"/>
    <mergeCell ref="P347:P348"/>
    <mergeCell ref="Q347:Q348"/>
    <mergeCell ref="R347:R348"/>
    <mergeCell ref="S347:S348"/>
    <mergeCell ref="T347:T348"/>
    <mergeCell ref="U347:U348"/>
    <mergeCell ref="V347:V348"/>
    <mergeCell ref="W347:W348"/>
    <mergeCell ref="A349:A350"/>
    <mergeCell ref="B349:B350"/>
    <mergeCell ref="C349:C350"/>
    <mergeCell ref="D349:D350"/>
    <mergeCell ref="E349:E350"/>
    <mergeCell ref="F349:F350"/>
    <mergeCell ref="G349:G350"/>
    <mergeCell ref="H349:H350"/>
    <mergeCell ref="I349:I350"/>
    <mergeCell ref="J349:J350"/>
    <mergeCell ref="K349:K350"/>
    <mergeCell ref="L349:L350"/>
    <mergeCell ref="M349:M350"/>
    <mergeCell ref="N349:N350"/>
    <mergeCell ref="O349:O350"/>
    <mergeCell ref="P349:P350"/>
    <mergeCell ref="Q349:Q350"/>
    <mergeCell ref="R349:R350"/>
    <mergeCell ref="S349:S350"/>
    <mergeCell ref="T349:T350"/>
    <mergeCell ref="U349:U350"/>
    <mergeCell ref="V349:V350"/>
    <mergeCell ref="W349:W350"/>
    <mergeCell ref="I353:I354"/>
    <mergeCell ref="J353:J354"/>
    <mergeCell ref="I355:I358"/>
    <mergeCell ref="J355:J358"/>
    <mergeCell ref="B367:K367"/>
    <mergeCell ref="A373:A376"/>
    <mergeCell ref="B373:B376"/>
    <mergeCell ref="C373:C376"/>
    <mergeCell ref="D373:D374"/>
    <mergeCell ref="I373:I382"/>
    <mergeCell ref="J373:J382"/>
    <mergeCell ref="K373:K376"/>
    <mergeCell ref="C378:C380"/>
    <mergeCell ref="A379:A380"/>
    <mergeCell ref="B379:B380"/>
    <mergeCell ref="D379:D380"/>
    <mergeCell ref="A383:K383"/>
    <mergeCell ref="I384:I394"/>
    <mergeCell ref="J384:J394"/>
    <mergeCell ref="A385:A390"/>
    <mergeCell ref="B385:B390"/>
    <mergeCell ref="C385:C390"/>
    <mergeCell ref="D385:D390"/>
    <mergeCell ref="A395:K395"/>
    <mergeCell ref="A396:K396"/>
    <mergeCell ref="I397:I416"/>
    <mergeCell ref="J397:J416"/>
    <mergeCell ref="A398:A401"/>
    <mergeCell ref="B398:B401"/>
    <mergeCell ref="C398:C401"/>
    <mergeCell ref="D398:D401"/>
    <mergeCell ref="A402:A403"/>
    <mergeCell ref="B402:B403"/>
    <mergeCell ref="C402:C403"/>
    <mergeCell ref="D402:D403"/>
    <mergeCell ref="A405:A410"/>
    <mergeCell ref="B405:B410"/>
    <mergeCell ref="C405:C410"/>
    <mergeCell ref="D405:D410"/>
    <mergeCell ref="A411:A413"/>
    <mergeCell ref="B411:B413"/>
    <mergeCell ref="C411:C413"/>
    <mergeCell ref="D411:D413"/>
    <mergeCell ref="A414:A415"/>
    <mergeCell ref="B414:B415"/>
    <mergeCell ref="C414:C415"/>
    <mergeCell ref="D414:D415"/>
    <mergeCell ref="I418:I443"/>
    <mergeCell ref="J418:J443"/>
    <mergeCell ref="A419:A426"/>
    <mergeCell ref="B419:B426"/>
    <mergeCell ref="C419:C426"/>
    <mergeCell ref="D419:D426"/>
    <mergeCell ref="A428:A433"/>
    <mergeCell ref="B428:B433"/>
    <mergeCell ref="C428:C433"/>
    <mergeCell ref="D428:D433"/>
    <mergeCell ref="A434:A443"/>
    <mergeCell ref="B434:B443"/>
    <mergeCell ref="C434:C444"/>
    <mergeCell ref="D434:D443"/>
    <mergeCell ref="B447:K447"/>
    <mergeCell ref="A448:A449"/>
    <mergeCell ref="B448:B449"/>
    <mergeCell ref="C448:C449"/>
    <mergeCell ref="D448:D449"/>
    <mergeCell ref="A450:A457"/>
    <mergeCell ref="B450:B457"/>
    <mergeCell ref="C450:C457"/>
    <mergeCell ref="D450:D457"/>
    <mergeCell ref="I450:I457"/>
    <mergeCell ref="J450:J457"/>
    <mergeCell ref="A458:A463"/>
    <mergeCell ref="B458:B463"/>
    <mergeCell ref="C458:C463"/>
    <mergeCell ref="D458:D463"/>
    <mergeCell ref="I458:I463"/>
    <mergeCell ref="J458:J463"/>
    <mergeCell ref="A464:A465"/>
    <mergeCell ref="B464:B465"/>
    <mergeCell ref="C464:C465"/>
    <mergeCell ref="D464:D465"/>
    <mergeCell ref="I464:I465"/>
    <mergeCell ref="J464:J465"/>
    <mergeCell ref="A466:A467"/>
    <mergeCell ref="B466:B467"/>
    <mergeCell ref="C466:C467"/>
    <mergeCell ref="D466:D467"/>
    <mergeCell ref="I466:I467"/>
    <mergeCell ref="J466:J467"/>
    <mergeCell ref="B469:K469"/>
    <mergeCell ref="A475:K475"/>
    <mergeCell ref="I481:I482"/>
    <mergeCell ref="J481:J482"/>
    <mergeCell ref="I483:I487"/>
    <mergeCell ref="J483:J487"/>
    <mergeCell ref="A488:K488"/>
    <mergeCell ref="A493:K493"/>
    <mergeCell ref="A494:B494"/>
    <mergeCell ref="A496:A501"/>
    <mergeCell ref="B496:B501"/>
    <mergeCell ref="C497:C501"/>
    <mergeCell ref="I498:I500"/>
    <mergeCell ref="B506:B509"/>
    <mergeCell ref="C506:C508"/>
    <mergeCell ref="I507:I508"/>
    <mergeCell ref="A510:A514"/>
    <mergeCell ref="B510:B514"/>
    <mergeCell ref="C510:C514"/>
    <mergeCell ref="I511:I513"/>
    <mergeCell ref="A516:A522"/>
    <mergeCell ref="C516:C522"/>
    <mergeCell ref="V650:V651"/>
    <mergeCell ref="W650:W651"/>
    <mergeCell ref="A706:A707"/>
    <mergeCell ref="B706:B707"/>
    <mergeCell ref="C706:C707"/>
    <mergeCell ref="D706:D707"/>
    <mergeCell ref="E706:E707"/>
    <mergeCell ref="F706:F707"/>
    <mergeCell ref="H706:H707"/>
    <mergeCell ref="K706:K707"/>
    <mergeCell ref="L650:L651"/>
    <mergeCell ref="M650:M651"/>
    <mergeCell ref="N650:N651"/>
    <mergeCell ref="O650:O651"/>
    <mergeCell ref="P650:P651"/>
    <mergeCell ref="R650:R651"/>
    <mergeCell ref="S650:S651"/>
    <mergeCell ref="T650:T651"/>
    <mergeCell ref="U650:U651"/>
    <mergeCell ref="B716:K716"/>
    <mergeCell ref="A722:K722"/>
    <mergeCell ref="B727:K727"/>
    <mergeCell ref="B730:K730"/>
    <mergeCell ref="A732:A736"/>
    <mergeCell ref="C732:C737"/>
    <mergeCell ref="D732:D735"/>
    <mergeCell ref="I734:I735"/>
    <mergeCell ref="A738:K738"/>
    <mergeCell ref="C745:C746"/>
    <mergeCell ref="D745:D746"/>
    <mergeCell ref="I749:I752"/>
    <mergeCell ref="J749:J752"/>
    <mergeCell ref="I754:I759"/>
    <mergeCell ref="J754:J759"/>
    <mergeCell ref="I760:I761"/>
    <mergeCell ref="I762:I763"/>
    <mergeCell ref="A767:K767"/>
    <mergeCell ref="I769:I770"/>
    <mergeCell ref="J769:J770"/>
    <mergeCell ref="K769:K770"/>
    <mergeCell ref="A770:A773"/>
    <mergeCell ref="I771:I773"/>
    <mergeCell ref="J771:J773"/>
    <mergeCell ref="K771:K773"/>
    <mergeCell ref="I780:I782"/>
    <mergeCell ref="J780:J782"/>
    <mergeCell ref="K780:K782"/>
    <mergeCell ref="A783:K783"/>
    <mergeCell ref="A784:K784"/>
    <mergeCell ref="A790:K790"/>
    <mergeCell ref="A794:A797"/>
    <mergeCell ref="C794:C797"/>
    <mergeCell ref="D794:D797"/>
    <mergeCell ref="I794:I797"/>
    <mergeCell ref="J794:J797"/>
    <mergeCell ref="K794:K797"/>
    <mergeCell ref="A798:K798"/>
    <mergeCell ref="I799:I812"/>
    <mergeCell ref="J799:J812"/>
    <mergeCell ref="K799:K810"/>
    <mergeCell ref="A800:A802"/>
    <mergeCell ref="C800:C808"/>
    <mergeCell ref="A805:A807"/>
    <mergeCell ref="A808:A810"/>
    <mergeCell ref="A813:K813"/>
    <mergeCell ref="I817:I819"/>
    <mergeCell ref="A820:A826"/>
    <mergeCell ref="C820:C826"/>
    <mergeCell ref="D820:D826"/>
    <mergeCell ref="I820:I826"/>
    <mergeCell ref="J820:J826"/>
    <mergeCell ref="K820:K826"/>
    <mergeCell ref="A828:A834"/>
    <mergeCell ref="C828:C834"/>
    <mergeCell ref="D828:D834"/>
    <mergeCell ref="I828:I834"/>
    <mergeCell ref="J828:J834"/>
    <mergeCell ref="K828:K834"/>
    <mergeCell ref="A860:A864"/>
    <mergeCell ref="C860:C864"/>
    <mergeCell ref="D860:D864"/>
    <mergeCell ref="I860:I864"/>
    <mergeCell ref="K860:K861"/>
    <mergeCell ref="K862:K864"/>
    <mergeCell ref="I838:I841"/>
    <mergeCell ref="J838:J841"/>
    <mergeCell ref="K838:K841"/>
    <mergeCell ref="A844:A845"/>
    <mergeCell ref="C844:C845"/>
    <mergeCell ref="D844:D845"/>
    <mergeCell ref="I844:I848"/>
    <mergeCell ref="J844:J845"/>
    <mergeCell ref="A847:A848"/>
    <mergeCell ref="B865:K865"/>
    <mergeCell ref="H866:H867"/>
    <mergeCell ref="I866:I867"/>
    <mergeCell ref="J866:J867"/>
    <mergeCell ref="B868:K868"/>
    <mergeCell ref="I851:I854"/>
    <mergeCell ref="J851:J853"/>
    <mergeCell ref="K851:K853"/>
    <mergeCell ref="B859:K859"/>
  </mergeCells>
  <phoneticPr fontId="3" type="noConversion"/>
  <printOptions horizontalCentered="1"/>
  <pageMargins left="0.23622047244094491" right="0.19685039370078741" top="0.74803149606299213" bottom="0.82677165354330717" header="0.15748031496062992" footer="0.23622047244094491"/>
  <pageSetup paperSize="9" scale="38" fitToHeight="100" orientation="landscape" verticalDpi="4294967295" r:id="rId1"/>
  <headerFooter differentOddEven="1">
    <oddFooter>&amp;R
Таблица 1, страница &amp;P</oddFooter>
    <evenHeader xml:space="preserve">&amp;R
Таблица 1, страница &amp;P
</evenHeader>
  </headerFooter>
</worksheet>
</file>

<file path=xl/worksheets/sheet2.xml><?xml version="1.0" encoding="utf-8"?>
<worksheet xmlns="http://schemas.openxmlformats.org/spreadsheetml/2006/main" xmlns:r="http://schemas.openxmlformats.org/officeDocument/2006/relationships">
  <sheetPr>
    <pageSetUpPr fitToPage="1"/>
  </sheetPr>
  <dimension ref="A1:W109"/>
  <sheetViews>
    <sheetView tabSelected="1" view="pageBreakPreview" zoomScale="64" zoomScaleSheetLayoutView="64" workbookViewId="0">
      <pane xSplit="1" ySplit="12" topLeftCell="B13" activePane="bottomRight" state="frozen"/>
      <selection pane="topRight" activeCell="B1" sqref="B1"/>
      <selection pane="bottomLeft" activeCell="A12" sqref="A12"/>
      <selection pane="bottomRight" activeCell="L11" sqref="L11"/>
    </sheetView>
  </sheetViews>
  <sheetFormatPr defaultColWidth="9.140625" defaultRowHeight="18.75"/>
  <cols>
    <col min="1" max="1" width="8.28515625" style="699" customWidth="1"/>
    <col min="2" max="2" width="60.28515625" style="150" customWidth="1"/>
    <col min="3" max="3" width="31.7109375" style="700" customWidth="1"/>
    <col min="4" max="4" width="9.7109375" style="277" customWidth="1"/>
    <col min="5" max="6" width="4.5703125" style="17" customWidth="1"/>
    <col min="7" max="7" width="15.85546875" style="17" customWidth="1"/>
    <col min="8" max="8" width="6.7109375" style="17" customWidth="1"/>
    <col min="9" max="9" width="47.28515625" style="278" customWidth="1"/>
    <col min="10" max="10" width="14.42578125" style="700" customWidth="1"/>
    <col min="11" max="11" width="13.42578125" style="151" customWidth="1"/>
    <col min="12" max="12" width="16.140625" style="152" customWidth="1"/>
    <col min="13" max="13" width="15.140625" style="152" customWidth="1"/>
    <col min="14" max="14" width="17.140625" style="152" customWidth="1"/>
    <col min="15" max="16" width="16.5703125" style="152" bestFit="1" customWidth="1"/>
    <col min="17" max="17" width="12.85546875" style="152" customWidth="1"/>
    <col min="18" max="19" width="16.5703125" style="152" bestFit="1" customWidth="1"/>
    <col min="20" max="20" width="12.7109375" style="152" customWidth="1"/>
    <col min="21" max="21" width="16.85546875" style="152" bestFit="1" customWidth="1"/>
    <col min="22" max="22" width="16.5703125" style="152" bestFit="1" customWidth="1"/>
    <col min="23" max="23" width="14.85546875" style="152" customWidth="1"/>
    <col min="24" max="16384" width="9.140625" style="701"/>
  </cols>
  <sheetData>
    <row r="1" spans="1:23" ht="16.5" customHeight="1">
      <c r="P1" s="672" t="s">
        <v>1222</v>
      </c>
      <c r="Q1" s="673"/>
      <c r="R1" s="673"/>
      <c r="S1" s="673"/>
      <c r="T1" s="673"/>
      <c r="U1" s="673"/>
      <c r="V1" s="673"/>
      <c r="W1" s="673"/>
    </row>
    <row r="2" spans="1:23">
      <c r="P2" s="673"/>
      <c r="Q2" s="673"/>
      <c r="R2" s="673"/>
      <c r="S2" s="673"/>
      <c r="T2" s="673"/>
      <c r="U2" s="673"/>
      <c r="V2" s="673"/>
      <c r="W2" s="673"/>
    </row>
    <row r="3" spans="1:23">
      <c r="B3" s="702" t="s">
        <v>222</v>
      </c>
      <c r="C3" s="558"/>
      <c r="D3" s="558"/>
      <c r="E3" s="558"/>
      <c r="F3" s="558"/>
      <c r="G3" s="558"/>
      <c r="H3" s="558"/>
      <c r="I3" s="558"/>
      <c r="J3" s="558"/>
      <c r="K3" s="558"/>
      <c r="L3" s="558"/>
      <c r="M3" s="558"/>
      <c r="N3" s="558"/>
      <c r="O3" s="558"/>
      <c r="P3" s="558"/>
      <c r="Q3" s="558"/>
      <c r="R3" s="558"/>
      <c r="S3" s="558"/>
      <c r="T3" s="558"/>
      <c r="U3" s="558"/>
      <c r="V3" s="558"/>
    </row>
    <row r="4" spans="1:23" s="708" customFormat="1" hidden="1">
      <c r="A4" s="703"/>
      <c r="B4" s="704"/>
      <c r="C4" s="705"/>
      <c r="D4" s="283"/>
      <c r="E4" s="706"/>
      <c r="F4" s="706"/>
      <c r="G4" s="706"/>
      <c r="H4" s="706"/>
      <c r="I4" s="282"/>
      <c r="J4" s="704"/>
      <c r="K4" s="707" t="s">
        <v>290</v>
      </c>
      <c r="L4" s="152">
        <v>1662293.4</v>
      </c>
      <c r="M4" s="152">
        <v>1998789.3</v>
      </c>
      <c r="N4" s="152">
        <v>1175437.3999999999</v>
      </c>
      <c r="O4" s="152">
        <v>2292704.2000000002</v>
      </c>
      <c r="P4" s="152">
        <v>2292704.2000000002</v>
      </c>
      <c r="Q4" s="152">
        <v>0</v>
      </c>
      <c r="R4" s="152">
        <v>2291289.7000000002</v>
      </c>
      <c r="S4" s="152">
        <v>2291289.7000000002</v>
      </c>
      <c r="T4" s="152">
        <v>0</v>
      </c>
      <c r="U4" s="152">
        <v>2297228</v>
      </c>
      <c r="V4" s="152">
        <v>2297228</v>
      </c>
      <c r="W4" s="152">
        <v>0</v>
      </c>
    </row>
    <row r="5" spans="1:23" s="294" customFormat="1" hidden="1">
      <c r="A5" s="287"/>
      <c r="B5" s="288"/>
      <c r="C5" s="289"/>
      <c r="D5" s="709"/>
      <c r="E5" s="291"/>
      <c r="F5" s="291"/>
      <c r="G5" s="291"/>
      <c r="H5" s="291"/>
      <c r="I5" s="282"/>
      <c r="J5" s="288"/>
      <c r="K5" s="290"/>
      <c r="L5" s="293">
        <f t="shared" ref="L5:W5" si="0">L11-L4</f>
        <v>-3.9999999804422259E-2</v>
      </c>
      <c r="M5" s="293">
        <f t="shared" si="0"/>
        <v>0</v>
      </c>
      <c r="N5" s="293">
        <f t="shared" si="0"/>
        <v>0</v>
      </c>
      <c r="O5" s="293">
        <f t="shared" si="0"/>
        <v>0</v>
      </c>
      <c r="P5" s="293">
        <f t="shared" si="0"/>
        <v>0</v>
      </c>
      <c r="Q5" s="293">
        <f t="shared" si="0"/>
        <v>0</v>
      </c>
      <c r="R5" s="293">
        <f t="shared" si="0"/>
        <v>0</v>
      </c>
      <c r="S5" s="293">
        <f t="shared" si="0"/>
        <v>0</v>
      </c>
      <c r="T5" s="293">
        <f t="shared" si="0"/>
        <v>0</v>
      </c>
      <c r="U5" s="293">
        <f t="shared" si="0"/>
        <v>0</v>
      </c>
      <c r="V5" s="293">
        <f t="shared" si="0"/>
        <v>0</v>
      </c>
      <c r="W5" s="293">
        <f t="shared" si="0"/>
        <v>0</v>
      </c>
    </row>
    <row r="6" spans="1:23" s="295" customFormat="1">
      <c r="A6" s="492" t="s">
        <v>0</v>
      </c>
      <c r="B6" s="501" t="s">
        <v>27</v>
      </c>
      <c r="C6" s="501" t="s">
        <v>61</v>
      </c>
      <c r="D6" s="490" t="s">
        <v>347</v>
      </c>
      <c r="E6" s="493" t="s">
        <v>24</v>
      </c>
      <c r="F6" s="494"/>
      <c r="G6" s="494"/>
      <c r="H6" s="494"/>
      <c r="I6" s="710" t="s">
        <v>30</v>
      </c>
      <c r="J6" s="490" t="s">
        <v>1</v>
      </c>
      <c r="K6" s="490" t="s">
        <v>28</v>
      </c>
      <c r="L6" s="491" t="s">
        <v>2</v>
      </c>
      <c r="M6" s="491"/>
      <c r="N6" s="491"/>
      <c r="O6" s="491"/>
      <c r="P6" s="491"/>
      <c r="Q6" s="491"/>
      <c r="R6" s="491"/>
      <c r="S6" s="491"/>
      <c r="T6" s="491"/>
      <c r="U6" s="491"/>
      <c r="V6" s="491"/>
      <c r="W6" s="491"/>
    </row>
    <row r="7" spans="1:23" s="295" customFormat="1">
      <c r="A7" s="492"/>
      <c r="B7" s="501"/>
      <c r="C7" s="501"/>
      <c r="D7" s="490"/>
      <c r="E7" s="490" t="s">
        <v>3</v>
      </c>
      <c r="F7" s="490" t="s">
        <v>4</v>
      </c>
      <c r="G7" s="490" t="s">
        <v>5</v>
      </c>
      <c r="H7" s="647" t="s">
        <v>6</v>
      </c>
      <c r="I7" s="710"/>
      <c r="J7" s="490"/>
      <c r="K7" s="490"/>
      <c r="L7" s="491"/>
      <c r="M7" s="491"/>
      <c r="N7" s="491"/>
      <c r="O7" s="491"/>
      <c r="P7" s="491"/>
      <c r="Q7" s="491"/>
      <c r="R7" s="491"/>
      <c r="S7" s="491"/>
      <c r="T7" s="491"/>
      <c r="U7" s="491"/>
      <c r="V7" s="491"/>
      <c r="W7" s="491"/>
    </row>
    <row r="8" spans="1:23" s="295" customFormat="1">
      <c r="A8" s="492"/>
      <c r="B8" s="501"/>
      <c r="C8" s="501"/>
      <c r="D8" s="490"/>
      <c r="E8" s="490"/>
      <c r="F8" s="490"/>
      <c r="G8" s="490"/>
      <c r="H8" s="648"/>
      <c r="I8" s="710"/>
      <c r="J8" s="490"/>
      <c r="K8" s="490"/>
      <c r="L8" s="491" t="s">
        <v>1216</v>
      </c>
      <c r="M8" s="491" t="s">
        <v>1217</v>
      </c>
      <c r="N8" s="491" t="s">
        <v>1223</v>
      </c>
      <c r="O8" s="500" t="s">
        <v>1218</v>
      </c>
      <c r="P8" s="500"/>
      <c r="Q8" s="500"/>
      <c r="R8" s="500" t="s">
        <v>1219</v>
      </c>
      <c r="S8" s="500"/>
      <c r="T8" s="500"/>
      <c r="U8" s="500" t="s">
        <v>1220</v>
      </c>
      <c r="V8" s="500"/>
      <c r="W8" s="500"/>
    </row>
    <row r="9" spans="1:23" s="295" customFormat="1" ht="94.5" customHeight="1">
      <c r="A9" s="492"/>
      <c r="B9" s="501"/>
      <c r="C9" s="501"/>
      <c r="D9" s="490"/>
      <c r="E9" s="490"/>
      <c r="F9" s="490"/>
      <c r="G9" s="490"/>
      <c r="H9" s="649"/>
      <c r="I9" s="710"/>
      <c r="J9" s="490"/>
      <c r="K9" s="490"/>
      <c r="L9" s="491"/>
      <c r="M9" s="491"/>
      <c r="N9" s="491"/>
      <c r="O9" s="296" t="s">
        <v>29</v>
      </c>
      <c r="P9" s="296" t="s">
        <v>7</v>
      </c>
      <c r="Q9" s="296" t="s">
        <v>8</v>
      </c>
      <c r="R9" s="296" t="s">
        <v>29</v>
      </c>
      <c r="S9" s="296" t="s">
        <v>7</v>
      </c>
      <c r="T9" s="296" t="s">
        <v>8</v>
      </c>
      <c r="U9" s="296" t="s">
        <v>29</v>
      </c>
      <c r="V9" s="296" t="s">
        <v>7</v>
      </c>
      <c r="W9" s="296" t="s">
        <v>8</v>
      </c>
    </row>
    <row r="10" spans="1:23" s="711" customFormat="1">
      <c r="A10" s="232" t="s">
        <v>25</v>
      </c>
      <c r="B10" s="229">
        <v>2</v>
      </c>
      <c r="C10" s="238" t="s">
        <v>59</v>
      </c>
      <c r="D10" s="300" t="s">
        <v>60</v>
      </c>
      <c r="E10" s="226" t="s">
        <v>52</v>
      </c>
      <c r="F10" s="226" t="s">
        <v>53</v>
      </c>
      <c r="G10" s="226" t="s">
        <v>54</v>
      </c>
      <c r="H10" s="226" t="s">
        <v>26</v>
      </c>
      <c r="I10" s="335" t="s">
        <v>55</v>
      </c>
      <c r="J10" s="238" t="s">
        <v>80</v>
      </c>
      <c r="K10" s="232" t="s">
        <v>81</v>
      </c>
      <c r="L10" s="674" t="s">
        <v>82</v>
      </c>
      <c r="M10" s="674" t="s">
        <v>83</v>
      </c>
      <c r="N10" s="674" t="s">
        <v>84</v>
      </c>
      <c r="O10" s="675" t="s">
        <v>85</v>
      </c>
      <c r="P10" s="676"/>
      <c r="Q10" s="677"/>
      <c r="R10" s="675" t="s">
        <v>86</v>
      </c>
      <c r="S10" s="676"/>
      <c r="T10" s="677"/>
      <c r="U10" s="675" t="s">
        <v>87</v>
      </c>
      <c r="V10" s="676"/>
      <c r="W10" s="677"/>
    </row>
    <row r="11" spans="1:23" s="718" customFormat="1">
      <c r="A11" s="712"/>
      <c r="B11" s="180" t="s">
        <v>224</v>
      </c>
      <c r="C11" s="713"/>
      <c r="D11" s="714"/>
      <c r="E11" s="715"/>
      <c r="F11" s="715"/>
      <c r="G11" s="715"/>
      <c r="H11" s="715"/>
      <c r="I11" s="716"/>
      <c r="J11" s="713"/>
      <c r="K11" s="717"/>
      <c r="L11" s="10">
        <f>L13+L25+L30+L68+L87</f>
        <v>1662293.36</v>
      </c>
      <c r="M11" s="10">
        <f t="shared" ref="M11:W11" si="1">M13+M25+M30+M68+M87</f>
        <v>1998789.3</v>
      </c>
      <c r="N11" s="10">
        <f t="shared" si="1"/>
        <v>1175437.3999999999</v>
      </c>
      <c r="O11" s="10">
        <f t="shared" si="1"/>
        <v>2292704.2000000007</v>
      </c>
      <c r="P11" s="10">
        <f t="shared" si="1"/>
        <v>2292704.2000000007</v>
      </c>
      <c r="Q11" s="10">
        <f t="shared" si="1"/>
        <v>0</v>
      </c>
      <c r="R11" s="10">
        <f t="shared" si="1"/>
        <v>2291289.7000000007</v>
      </c>
      <c r="S11" s="10">
        <f t="shared" si="1"/>
        <v>2291289.7000000007</v>
      </c>
      <c r="T11" s="10">
        <f t="shared" si="1"/>
        <v>0</v>
      </c>
      <c r="U11" s="10">
        <f t="shared" si="1"/>
        <v>2297228.0000000005</v>
      </c>
      <c r="V11" s="10">
        <f t="shared" si="1"/>
        <v>2297228.0000000005</v>
      </c>
      <c r="W11" s="10">
        <f t="shared" si="1"/>
        <v>0</v>
      </c>
    </row>
    <row r="12" spans="1:23" s="719" customFormat="1">
      <c r="A12" s="397"/>
      <c r="B12" s="205"/>
      <c r="C12" s="238"/>
      <c r="D12" s="300"/>
      <c r="E12" s="226"/>
      <c r="F12" s="226"/>
      <c r="G12" s="226"/>
      <c r="H12" s="226"/>
      <c r="I12" s="335"/>
      <c r="J12" s="238"/>
      <c r="K12" s="232"/>
      <c r="L12" s="678"/>
      <c r="M12" s="678"/>
      <c r="N12" s="678"/>
      <c r="O12" s="678"/>
      <c r="P12" s="678"/>
      <c r="Q12" s="678"/>
      <c r="R12" s="678"/>
      <c r="S12" s="678"/>
      <c r="T12" s="678"/>
      <c r="U12" s="678"/>
      <c r="V12" s="678"/>
      <c r="W12" s="678"/>
    </row>
    <row r="13" spans="1:23" s="336" customFormat="1" ht="56.25">
      <c r="A13" s="143" t="s">
        <v>140</v>
      </c>
      <c r="B13" s="396" t="s">
        <v>141</v>
      </c>
      <c r="C13" s="49"/>
      <c r="D13" s="49"/>
      <c r="E13" s="49"/>
      <c r="F13" s="49"/>
      <c r="G13" s="49"/>
      <c r="H13" s="645"/>
      <c r="I13" s="633"/>
      <c r="J13" s="49"/>
      <c r="K13" s="49" t="s">
        <v>62</v>
      </c>
      <c r="L13" s="679">
        <f t="shared" ref="L13:W13" si="2">L14+L22</f>
        <v>1755.1</v>
      </c>
      <c r="M13" s="679">
        <f t="shared" si="2"/>
        <v>926.69999999999993</v>
      </c>
      <c r="N13" s="679">
        <f t="shared" si="2"/>
        <v>602.9</v>
      </c>
      <c r="O13" s="679">
        <f t="shared" si="2"/>
        <v>995.9</v>
      </c>
      <c r="P13" s="679">
        <f t="shared" si="2"/>
        <v>995.9</v>
      </c>
      <c r="Q13" s="679">
        <f t="shared" si="2"/>
        <v>0</v>
      </c>
      <c r="R13" s="679">
        <f t="shared" si="2"/>
        <v>995.9</v>
      </c>
      <c r="S13" s="679">
        <f t="shared" si="2"/>
        <v>995.9</v>
      </c>
      <c r="T13" s="679">
        <f t="shared" si="2"/>
        <v>0</v>
      </c>
      <c r="U13" s="679">
        <f t="shared" si="2"/>
        <v>995.9</v>
      </c>
      <c r="V13" s="679">
        <f t="shared" si="2"/>
        <v>995.9</v>
      </c>
      <c r="W13" s="679">
        <f t="shared" si="2"/>
        <v>0</v>
      </c>
    </row>
    <row r="14" spans="1:23">
      <c r="A14" s="234" t="s">
        <v>9</v>
      </c>
      <c r="B14" s="421" t="s">
        <v>67</v>
      </c>
      <c r="C14" s="421"/>
      <c r="D14" s="421"/>
      <c r="E14" s="421"/>
      <c r="F14" s="421"/>
      <c r="G14" s="421"/>
      <c r="H14" s="421"/>
      <c r="I14" s="421"/>
      <c r="J14" s="421"/>
      <c r="K14" s="421"/>
      <c r="L14" s="680">
        <f t="shared" ref="L14:W14" si="3">L15+L19</f>
        <v>1584.6</v>
      </c>
      <c r="M14" s="680">
        <f t="shared" si="3"/>
        <v>926.69999999999993</v>
      </c>
      <c r="N14" s="680">
        <f t="shared" si="3"/>
        <v>602.9</v>
      </c>
      <c r="O14" s="680">
        <f t="shared" si="3"/>
        <v>658.9</v>
      </c>
      <c r="P14" s="680">
        <f t="shared" si="3"/>
        <v>658.9</v>
      </c>
      <c r="Q14" s="680">
        <f t="shared" si="3"/>
        <v>0</v>
      </c>
      <c r="R14" s="680">
        <f t="shared" si="3"/>
        <v>658.9</v>
      </c>
      <c r="S14" s="680">
        <f t="shared" si="3"/>
        <v>658.9</v>
      </c>
      <c r="T14" s="680">
        <f t="shared" si="3"/>
        <v>0</v>
      </c>
      <c r="U14" s="680">
        <f t="shared" si="3"/>
        <v>658.9</v>
      </c>
      <c r="V14" s="680">
        <f t="shared" si="3"/>
        <v>658.9</v>
      </c>
      <c r="W14" s="680">
        <f t="shared" si="3"/>
        <v>0</v>
      </c>
    </row>
    <row r="15" spans="1:23">
      <c r="A15" s="133" t="s">
        <v>57</v>
      </c>
      <c r="B15" s="229"/>
      <c r="C15" s="240"/>
      <c r="D15" s="156"/>
      <c r="E15" s="156"/>
      <c r="F15" s="156"/>
      <c r="G15" s="156"/>
      <c r="H15" s="646"/>
      <c r="I15" s="233"/>
      <c r="J15" s="156"/>
      <c r="K15" s="156"/>
      <c r="L15" s="681">
        <f>L16</f>
        <v>22.3</v>
      </c>
      <c r="M15" s="681">
        <f t="shared" ref="M15:W15" si="4">M16</f>
        <v>23.3</v>
      </c>
      <c r="N15" s="681">
        <f t="shared" si="4"/>
        <v>16.3</v>
      </c>
      <c r="O15" s="681">
        <f t="shared" si="4"/>
        <v>23.6</v>
      </c>
      <c r="P15" s="681">
        <f t="shared" si="4"/>
        <v>23.6</v>
      </c>
      <c r="Q15" s="681">
        <f t="shared" si="4"/>
        <v>0</v>
      </c>
      <c r="R15" s="681">
        <f t="shared" si="4"/>
        <v>23.6</v>
      </c>
      <c r="S15" s="681">
        <f t="shared" si="4"/>
        <v>23.6</v>
      </c>
      <c r="T15" s="681">
        <f t="shared" si="4"/>
        <v>0</v>
      </c>
      <c r="U15" s="681">
        <f t="shared" si="4"/>
        <v>23.6</v>
      </c>
      <c r="V15" s="681">
        <f t="shared" si="4"/>
        <v>23.6</v>
      </c>
      <c r="W15" s="681">
        <f t="shared" si="4"/>
        <v>0</v>
      </c>
    </row>
    <row r="16" spans="1:23" ht="56.25">
      <c r="A16" s="161" t="s">
        <v>10</v>
      </c>
      <c r="B16" s="205" t="s">
        <v>69</v>
      </c>
      <c r="C16" s="240"/>
      <c r="D16" s="156"/>
      <c r="E16" s="156"/>
      <c r="F16" s="156"/>
      <c r="G16" s="156"/>
      <c r="H16" s="646"/>
      <c r="I16" s="233"/>
      <c r="J16" s="156"/>
      <c r="K16" s="156"/>
      <c r="L16" s="681">
        <f t="shared" ref="L16:W20" si="5">L17</f>
        <v>22.3</v>
      </c>
      <c r="M16" s="681">
        <f t="shared" si="5"/>
        <v>23.3</v>
      </c>
      <c r="N16" s="681">
        <f t="shared" si="5"/>
        <v>16.3</v>
      </c>
      <c r="O16" s="681">
        <f t="shared" si="5"/>
        <v>23.6</v>
      </c>
      <c r="P16" s="681">
        <f t="shared" si="5"/>
        <v>23.6</v>
      </c>
      <c r="Q16" s="681">
        <f t="shared" si="5"/>
        <v>0</v>
      </c>
      <c r="R16" s="681">
        <f t="shared" si="5"/>
        <v>23.6</v>
      </c>
      <c r="S16" s="681">
        <f t="shared" si="5"/>
        <v>23.6</v>
      </c>
      <c r="T16" s="681">
        <f t="shared" si="5"/>
        <v>0</v>
      </c>
      <c r="U16" s="681">
        <f t="shared" si="5"/>
        <v>23.6</v>
      </c>
      <c r="V16" s="681">
        <f t="shared" si="5"/>
        <v>23.6</v>
      </c>
      <c r="W16" s="681">
        <f t="shared" si="5"/>
        <v>0</v>
      </c>
    </row>
    <row r="17" spans="1:23" ht="147.75" customHeight="1">
      <c r="A17" s="225" t="s">
        <v>326</v>
      </c>
      <c r="B17" s="229" t="s">
        <v>1312</v>
      </c>
      <c r="C17" s="57"/>
      <c r="D17" s="176" t="s">
        <v>1200</v>
      </c>
      <c r="E17" s="176" t="s">
        <v>98</v>
      </c>
      <c r="F17" s="176" t="s">
        <v>98</v>
      </c>
      <c r="G17" s="176" t="s">
        <v>1313</v>
      </c>
      <c r="H17" s="165">
        <v>200</v>
      </c>
      <c r="I17" s="167" t="s">
        <v>1201</v>
      </c>
      <c r="J17" s="175" t="s">
        <v>1314</v>
      </c>
      <c r="K17" s="175"/>
      <c r="L17" s="25">
        <v>22.3</v>
      </c>
      <c r="M17" s="25">
        <v>23.3</v>
      </c>
      <c r="N17" s="25">
        <v>16.3</v>
      </c>
      <c r="O17" s="25">
        <f>P17+Q17</f>
        <v>23.6</v>
      </c>
      <c r="P17" s="682">
        <v>23.6</v>
      </c>
      <c r="Q17" s="682">
        <f t="shared" si="5"/>
        <v>0</v>
      </c>
      <c r="R17" s="682">
        <f>S17+T17</f>
        <v>23.6</v>
      </c>
      <c r="S17" s="682">
        <v>23.6</v>
      </c>
      <c r="T17" s="682">
        <f t="shared" si="5"/>
        <v>0</v>
      </c>
      <c r="U17" s="682">
        <f>V17+W17</f>
        <v>23.6</v>
      </c>
      <c r="V17" s="682">
        <v>23.6</v>
      </c>
      <c r="W17" s="682">
        <f t="shared" si="5"/>
        <v>0</v>
      </c>
    </row>
    <row r="18" spans="1:23">
      <c r="A18" s="416" t="s">
        <v>1202</v>
      </c>
      <c r="B18" s="416"/>
      <c r="C18" s="416"/>
      <c r="D18" s="416"/>
      <c r="E18" s="416"/>
      <c r="F18" s="416"/>
      <c r="G18" s="416"/>
      <c r="H18" s="416"/>
      <c r="I18" s="416"/>
      <c r="J18" s="416"/>
      <c r="K18" s="416"/>
      <c r="L18" s="28">
        <f>L19</f>
        <v>1562.3</v>
      </c>
      <c r="M18" s="28">
        <f t="shared" ref="M18:N20" si="6">M19</f>
        <v>903.4</v>
      </c>
      <c r="N18" s="28">
        <f t="shared" si="6"/>
        <v>586.6</v>
      </c>
      <c r="O18" s="28">
        <f t="shared" si="5"/>
        <v>635.29999999999995</v>
      </c>
      <c r="P18" s="28">
        <f t="shared" si="5"/>
        <v>635.29999999999995</v>
      </c>
      <c r="Q18" s="28">
        <f t="shared" si="5"/>
        <v>0</v>
      </c>
      <c r="R18" s="28">
        <f t="shared" si="5"/>
        <v>635.29999999999995</v>
      </c>
      <c r="S18" s="28">
        <f t="shared" si="5"/>
        <v>635.29999999999995</v>
      </c>
      <c r="T18" s="28">
        <f t="shared" si="5"/>
        <v>0</v>
      </c>
      <c r="U18" s="28">
        <f t="shared" si="5"/>
        <v>635.29999999999995</v>
      </c>
      <c r="V18" s="28">
        <f t="shared" si="5"/>
        <v>635.29999999999995</v>
      </c>
      <c r="W18" s="28">
        <f t="shared" si="5"/>
        <v>0</v>
      </c>
    </row>
    <row r="19" spans="1:23">
      <c r="A19" s="416" t="s">
        <v>1203</v>
      </c>
      <c r="B19" s="416"/>
      <c r="C19" s="416"/>
      <c r="D19" s="416"/>
      <c r="E19" s="416"/>
      <c r="F19" s="416"/>
      <c r="G19" s="416"/>
      <c r="H19" s="416"/>
      <c r="I19" s="416"/>
      <c r="J19" s="416"/>
      <c r="K19" s="416"/>
      <c r="L19" s="22">
        <f>L20</f>
        <v>1562.3</v>
      </c>
      <c r="M19" s="22">
        <f t="shared" si="6"/>
        <v>903.4</v>
      </c>
      <c r="N19" s="22">
        <f t="shared" si="6"/>
        <v>586.6</v>
      </c>
      <c r="O19" s="22">
        <f t="shared" si="5"/>
        <v>635.29999999999995</v>
      </c>
      <c r="P19" s="22">
        <f t="shared" si="5"/>
        <v>635.29999999999995</v>
      </c>
      <c r="Q19" s="22">
        <f t="shared" si="5"/>
        <v>0</v>
      </c>
      <c r="R19" s="22">
        <f t="shared" si="5"/>
        <v>635.29999999999995</v>
      </c>
      <c r="S19" s="22">
        <f t="shared" si="5"/>
        <v>635.29999999999995</v>
      </c>
      <c r="T19" s="22">
        <f t="shared" si="5"/>
        <v>0</v>
      </c>
      <c r="U19" s="22">
        <f t="shared" si="5"/>
        <v>635.29999999999995</v>
      </c>
      <c r="V19" s="22">
        <f t="shared" si="5"/>
        <v>635.29999999999995</v>
      </c>
      <c r="W19" s="22">
        <f t="shared" si="5"/>
        <v>0</v>
      </c>
    </row>
    <row r="20" spans="1:23" ht="37.5">
      <c r="A20" s="137" t="s">
        <v>1204</v>
      </c>
      <c r="B20" s="29" t="s">
        <v>1205</v>
      </c>
      <c r="C20" s="41"/>
      <c r="D20" s="218"/>
      <c r="E20" s="229"/>
      <c r="F20" s="229"/>
      <c r="G20" s="229"/>
      <c r="H20" s="250">
        <v>600</v>
      </c>
      <c r="I20" s="54"/>
      <c r="J20" s="41"/>
      <c r="K20" s="218"/>
      <c r="L20" s="25">
        <f>L21</f>
        <v>1562.3</v>
      </c>
      <c r="M20" s="25">
        <f t="shared" si="6"/>
        <v>903.4</v>
      </c>
      <c r="N20" s="25">
        <f t="shared" si="6"/>
        <v>586.6</v>
      </c>
      <c r="O20" s="25">
        <f t="shared" si="5"/>
        <v>635.29999999999995</v>
      </c>
      <c r="P20" s="25">
        <f t="shared" si="5"/>
        <v>635.29999999999995</v>
      </c>
      <c r="Q20" s="25">
        <f t="shared" si="5"/>
        <v>0</v>
      </c>
      <c r="R20" s="25">
        <f t="shared" si="5"/>
        <v>635.29999999999995</v>
      </c>
      <c r="S20" s="25">
        <f t="shared" si="5"/>
        <v>635.29999999999995</v>
      </c>
      <c r="T20" s="25">
        <f t="shared" si="5"/>
        <v>0</v>
      </c>
      <c r="U20" s="25">
        <f t="shared" si="5"/>
        <v>635.29999999999995</v>
      </c>
      <c r="V20" s="25">
        <f t="shared" si="5"/>
        <v>635.29999999999995</v>
      </c>
      <c r="W20" s="25">
        <f t="shared" si="5"/>
        <v>0</v>
      </c>
    </row>
    <row r="21" spans="1:23" ht="393.75">
      <c r="A21" s="137" t="s">
        <v>1206</v>
      </c>
      <c r="B21" s="229" t="s">
        <v>1207</v>
      </c>
      <c r="C21" s="238" t="s">
        <v>1208</v>
      </c>
      <c r="D21" s="226" t="s">
        <v>1209</v>
      </c>
      <c r="E21" s="238" t="s">
        <v>93</v>
      </c>
      <c r="F21" s="238" t="s">
        <v>98</v>
      </c>
      <c r="G21" s="238" t="s">
        <v>1210</v>
      </c>
      <c r="H21" s="250">
        <v>600</v>
      </c>
      <c r="I21" s="230" t="s">
        <v>1211</v>
      </c>
      <c r="J21" s="228" t="s">
        <v>1315</v>
      </c>
      <c r="K21" s="218"/>
      <c r="L21" s="25">
        <v>1562.3</v>
      </c>
      <c r="M21" s="25">
        <v>903.4</v>
      </c>
      <c r="N21" s="25">
        <v>586.6</v>
      </c>
      <c r="O21" s="25">
        <f>P21+Q21</f>
        <v>635.29999999999995</v>
      </c>
      <c r="P21" s="25">
        <v>635.29999999999995</v>
      </c>
      <c r="Q21" s="25">
        <v>0</v>
      </c>
      <c r="R21" s="25">
        <f>S21+T21</f>
        <v>635.29999999999995</v>
      </c>
      <c r="S21" s="25">
        <v>635.29999999999995</v>
      </c>
      <c r="T21" s="25">
        <v>0</v>
      </c>
      <c r="U21" s="25">
        <f>V21+W21</f>
        <v>635.29999999999995</v>
      </c>
      <c r="V21" s="25">
        <v>635.29999999999995</v>
      </c>
      <c r="W21" s="25">
        <v>0</v>
      </c>
    </row>
    <row r="22" spans="1:23">
      <c r="A22" s="234" t="s">
        <v>15</v>
      </c>
      <c r="B22" s="720" t="s">
        <v>16</v>
      </c>
      <c r="C22" s="660"/>
      <c r="D22" s="664"/>
      <c r="E22" s="720"/>
      <c r="F22" s="720"/>
      <c r="G22" s="720"/>
      <c r="H22" s="662">
        <v>300</v>
      </c>
      <c r="I22" s="721"/>
      <c r="J22" s="660"/>
      <c r="K22" s="664"/>
      <c r="L22" s="680">
        <f>L23</f>
        <v>170.5</v>
      </c>
      <c r="M22" s="680">
        <f t="shared" ref="M22:W23" si="7">M23</f>
        <v>0</v>
      </c>
      <c r="N22" s="680">
        <f t="shared" si="7"/>
        <v>0</v>
      </c>
      <c r="O22" s="683">
        <f t="shared" ref="O22:O23" si="8">P22+Q22</f>
        <v>337</v>
      </c>
      <c r="P22" s="680">
        <f t="shared" si="7"/>
        <v>337</v>
      </c>
      <c r="Q22" s="680">
        <f t="shared" si="7"/>
        <v>0</v>
      </c>
      <c r="R22" s="680">
        <f t="shared" si="7"/>
        <v>337</v>
      </c>
      <c r="S22" s="680">
        <f t="shared" si="7"/>
        <v>337</v>
      </c>
      <c r="T22" s="680">
        <f t="shared" si="7"/>
        <v>0</v>
      </c>
      <c r="U22" s="680">
        <f t="shared" si="7"/>
        <v>337</v>
      </c>
      <c r="V22" s="680">
        <f t="shared" si="7"/>
        <v>337</v>
      </c>
      <c r="W22" s="680">
        <f t="shared" si="7"/>
        <v>0</v>
      </c>
    </row>
    <row r="23" spans="1:23" ht="56.25">
      <c r="A23" s="133" t="s">
        <v>18</v>
      </c>
      <c r="B23" s="205" t="s">
        <v>47</v>
      </c>
      <c r="C23" s="134"/>
      <c r="D23" s="135"/>
      <c r="E23" s="205"/>
      <c r="F23" s="205"/>
      <c r="G23" s="205"/>
      <c r="H23" s="257">
        <v>320</v>
      </c>
      <c r="I23" s="722"/>
      <c r="J23" s="134"/>
      <c r="K23" s="135"/>
      <c r="L23" s="22">
        <f>L24</f>
        <v>170.5</v>
      </c>
      <c r="M23" s="22">
        <f t="shared" si="7"/>
        <v>0</v>
      </c>
      <c r="N23" s="22">
        <f t="shared" si="7"/>
        <v>0</v>
      </c>
      <c r="O23" s="25">
        <f t="shared" si="8"/>
        <v>337</v>
      </c>
      <c r="P23" s="22">
        <f t="shared" si="7"/>
        <v>337</v>
      </c>
      <c r="Q23" s="22">
        <f t="shared" si="7"/>
        <v>0</v>
      </c>
      <c r="R23" s="22">
        <f t="shared" si="7"/>
        <v>337</v>
      </c>
      <c r="S23" s="22">
        <f t="shared" si="7"/>
        <v>337</v>
      </c>
      <c r="T23" s="22">
        <f t="shared" si="7"/>
        <v>0</v>
      </c>
      <c r="U23" s="22">
        <f t="shared" si="7"/>
        <v>337</v>
      </c>
      <c r="V23" s="22">
        <f t="shared" si="7"/>
        <v>337</v>
      </c>
      <c r="W23" s="22">
        <f t="shared" si="7"/>
        <v>0</v>
      </c>
    </row>
    <row r="24" spans="1:23" ht="300">
      <c r="A24" s="137" t="s">
        <v>12</v>
      </c>
      <c r="B24" s="229" t="s">
        <v>1212</v>
      </c>
      <c r="C24" s="221"/>
      <c r="D24" s="226" t="s">
        <v>406</v>
      </c>
      <c r="E24" s="238" t="s">
        <v>80</v>
      </c>
      <c r="F24" s="238" t="s">
        <v>93</v>
      </c>
      <c r="G24" s="238" t="s">
        <v>1213</v>
      </c>
      <c r="H24" s="250">
        <v>320</v>
      </c>
      <c r="I24" s="230" t="s">
        <v>1316</v>
      </c>
      <c r="J24" s="228" t="s">
        <v>1317</v>
      </c>
      <c r="K24" s="218"/>
      <c r="L24" s="25">
        <v>170.5</v>
      </c>
      <c r="M24" s="25">
        <v>0</v>
      </c>
      <c r="N24" s="25">
        <v>0</v>
      </c>
      <c r="O24" s="25">
        <f>P24+Q24</f>
        <v>337</v>
      </c>
      <c r="P24" s="25">
        <v>337</v>
      </c>
      <c r="Q24" s="25">
        <v>0</v>
      </c>
      <c r="R24" s="25">
        <f>S24+T24</f>
        <v>337</v>
      </c>
      <c r="S24" s="25">
        <v>337</v>
      </c>
      <c r="T24" s="25">
        <v>0</v>
      </c>
      <c r="U24" s="25">
        <f>V24+W24</f>
        <v>337</v>
      </c>
      <c r="V24" s="25">
        <v>337</v>
      </c>
      <c r="W24" s="25">
        <v>0</v>
      </c>
    </row>
    <row r="25" spans="1:23" ht="56.25">
      <c r="A25" s="306" t="s">
        <v>147</v>
      </c>
      <c r="B25" s="593" t="s">
        <v>402</v>
      </c>
      <c r="C25" s="306"/>
      <c r="D25" s="306"/>
      <c r="E25" s="306"/>
      <c r="F25" s="306"/>
      <c r="G25" s="306"/>
      <c r="H25" s="304"/>
      <c r="I25" s="627"/>
      <c r="J25" s="306"/>
      <c r="K25" s="306" t="s">
        <v>62</v>
      </c>
      <c r="L25" s="307">
        <f>SUM(L26,)</f>
        <v>73867.100000000006</v>
      </c>
      <c r="M25" s="307">
        <f t="shared" ref="M25:W25" si="9">SUM(M26,)</f>
        <v>69664.800000000003</v>
      </c>
      <c r="N25" s="307">
        <f t="shared" si="9"/>
        <v>69664.800000000003</v>
      </c>
      <c r="O25" s="307">
        <f t="shared" si="9"/>
        <v>84562.8</v>
      </c>
      <c r="P25" s="307">
        <f t="shared" si="9"/>
        <v>84562.8</v>
      </c>
      <c r="Q25" s="307">
        <f t="shared" si="9"/>
        <v>0</v>
      </c>
      <c r="R25" s="307">
        <f t="shared" si="9"/>
        <v>85690.6</v>
      </c>
      <c r="S25" s="307">
        <f t="shared" si="9"/>
        <v>85690.6</v>
      </c>
      <c r="T25" s="307">
        <f t="shared" si="9"/>
        <v>0</v>
      </c>
      <c r="U25" s="307">
        <f t="shared" si="9"/>
        <v>86415.6</v>
      </c>
      <c r="V25" s="307">
        <f t="shared" si="9"/>
        <v>86415.6</v>
      </c>
      <c r="W25" s="307">
        <f t="shared" si="9"/>
        <v>0</v>
      </c>
    </row>
    <row r="26" spans="1:23">
      <c r="A26" s="322" t="s">
        <v>9</v>
      </c>
      <c r="B26" s="506" t="s">
        <v>67</v>
      </c>
      <c r="C26" s="506"/>
      <c r="D26" s="506"/>
      <c r="E26" s="506"/>
      <c r="F26" s="506"/>
      <c r="G26" s="506"/>
      <c r="H26" s="506"/>
      <c r="I26" s="506"/>
      <c r="J26" s="506"/>
      <c r="K26" s="506"/>
      <c r="L26" s="316">
        <f>SUM(L27)</f>
        <v>73867.100000000006</v>
      </c>
      <c r="M26" s="316">
        <f t="shared" ref="M26:W27" si="10">SUM(M27)</f>
        <v>69664.800000000003</v>
      </c>
      <c r="N26" s="316">
        <f t="shared" si="10"/>
        <v>69664.800000000003</v>
      </c>
      <c r="O26" s="316">
        <f t="shared" si="10"/>
        <v>84562.8</v>
      </c>
      <c r="P26" s="316">
        <f t="shared" si="10"/>
        <v>84562.8</v>
      </c>
      <c r="Q26" s="316">
        <f t="shared" si="10"/>
        <v>0</v>
      </c>
      <c r="R26" s="316">
        <f t="shared" si="10"/>
        <v>85690.6</v>
      </c>
      <c r="S26" s="316">
        <f t="shared" si="10"/>
        <v>85690.6</v>
      </c>
      <c r="T26" s="316">
        <f t="shared" si="10"/>
        <v>0</v>
      </c>
      <c r="U26" s="316">
        <f t="shared" si="10"/>
        <v>86415.6</v>
      </c>
      <c r="V26" s="316">
        <f t="shared" si="10"/>
        <v>86415.6</v>
      </c>
      <c r="W26" s="316">
        <f t="shared" si="10"/>
        <v>0</v>
      </c>
    </row>
    <row r="27" spans="1:23">
      <c r="A27" s="505" t="s">
        <v>874</v>
      </c>
      <c r="B27" s="505"/>
      <c r="C27" s="505"/>
      <c r="D27" s="505"/>
      <c r="E27" s="505"/>
      <c r="F27" s="505"/>
      <c r="G27" s="505"/>
      <c r="H27" s="505"/>
      <c r="I27" s="505"/>
      <c r="J27" s="505"/>
      <c r="K27" s="505"/>
      <c r="L27" s="321">
        <f>SUM(L28)</f>
        <v>73867.100000000006</v>
      </c>
      <c r="M27" s="321">
        <f t="shared" si="10"/>
        <v>69664.800000000003</v>
      </c>
      <c r="N27" s="321">
        <f t="shared" si="10"/>
        <v>69664.800000000003</v>
      </c>
      <c r="O27" s="321">
        <f t="shared" si="10"/>
        <v>84562.8</v>
      </c>
      <c r="P27" s="321">
        <f t="shared" si="10"/>
        <v>84562.8</v>
      </c>
      <c r="Q27" s="321">
        <f t="shared" si="10"/>
        <v>0</v>
      </c>
      <c r="R27" s="321">
        <f t="shared" si="10"/>
        <v>85690.6</v>
      </c>
      <c r="S27" s="321">
        <f t="shared" si="10"/>
        <v>85690.6</v>
      </c>
      <c r="T27" s="321">
        <f t="shared" si="10"/>
        <v>0</v>
      </c>
      <c r="U27" s="321">
        <f t="shared" si="10"/>
        <v>86415.6</v>
      </c>
      <c r="V27" s="321">
        <f t="shared" si="10"/>
        <v>86415.6</v>
      </c>
      <c r="W27" s="321">
        <f t="shared" si="10"/>
        <v>0</v>
      </c>
    </row>
    <row r="28" spans="1:23">
      <c r="A28" s="603" t="s">
        <v>14</v>
      </c>
      <c r="B28" s="318" t="s">
        <v>875</v>
      </c>
      <c r="C28" s="330"/>
      <c r="D28" s="332"/>
      <c r="E28" s="318"/>
      <c r="F28" s="318"/>
      <c r="G28" s="318"/>
      <c r="H28" s="298">
        <v>400</v>
      </c>
      <c r="I28" s="334"/>
      <c r="J28" s="330"/>
      <c r="K28" s="332"/>
      <c r="L28" s="79">
        <f>SUM(L29:L29)</f>
        <v>73867.100000000006</v>
      </c>
      <c r="M28" s="79">
        <v>69664.800000000003</v>
      </c>
      <c r="N28" s="79">
        <v>69664.800000000003</v>
      </c>
      <c r="O28" s="79">
        <f>SUM(O29:O29)</f>
        <v>84562.8</v>
      </c>
      <c r="P28" s="79">
        <f>SUM(P29:P29)</f>
        <v>84562.8</v>
      </c>
      <c r="Q28" s="79">
        <f>SUM(Q29:Q29)</f>
        <v>0</v>
      </c>
      <c r="R28" s="79">
        <f>SUM(R29:R29)</f>
        <v>85690.6</v>
      </c>
      <c r="S28" s="79">
        <f>SUM(S29:S29)</f>
        <v>85690.6</v>
      </c>
      <c r="T28" s="79">
        <f>SUM(T29:T29)</f>
        <v>0</v>
      </c>
      <c r="U28" s="79">
        <f>SUM(U29:U29)</f>
        <v>86415.6</v>
      </c>
      <c r="V28" s="79">
        <f>SUM(V29:V29)</f>
        <v>86415.6</v>
      </c>
      <c r="W28" s="79">
        <f>SUM(W29:W29)</f>
        <v>0</v>
      </c>
    </row>
    <row r="29" spans="1:23" ht="393.75">
      <c r="A29" s="603" t="s">
        <v>881</v>
      </c>
      <c r="B29" s="318" t="s">
        <v>1525</v>
      </c>
      <c r="C29" s="330"/>
      <c r="D29" s="300" t="s">
        <v>1527</v>
      </c>
      <c r="E29" s="318">
        <v>10</v>
      </c>
      <c r="F29" s="335" t="s">
        <v>93</v>
      </c>
      <c r="G29" s="318" t="s">
        <v>1528</v>
      </c>
      <c r="H29" s="298">
        <v>410</v>
      </c>
      <c r="I29" s="328" t="s">
        <v>1526</v>
      </c>
      <c r="J29" s="332"/>
      <c r="K29" s="332"/>
      <c r="L29" s="79">
        <v>73867.100000000006</v>
      </c>
      <c r="M29" s="79">
        <v>69664.800000000003</v>
      </c>
      <c r="N29" s="79">
        <v>69664.800000000003</v>
      </c>
      <c r="O29" s="79">
        <f>P29+Q29</f>
        <v>84562.8</v>
      </c>
      <c r="P29" s="79">
        <v>84562.8</v>
      </c>
      <c r="Q29" s="79">
        <v>0</v>
      </c>
      <c r="R29" s="79">
        <f>S29+T29</f>
        <v>85690.6</v>
      </c>
      <c r="S29" s="79">
        <v>85690.6</v>
      </c>
      <c r="T29" s="79">
        <v>0</v>
      </c>
      <c r="U29" s="79">
        <f>V29+W29</f>
        <v>86415.6</v>
      </c>
      <c r="V29" s="79">
        <v>86415.6</v>
      </c>
      <c r="W29" s="79">
        <v>0</v>
      </c>
    </row>
    <row r="30" spans="1:23" ht="56.25">
      <c r="A30" s="7" t="s">
        <v>161</v>
      </c>
      <c r="B30" s="6" t="s">
        <v>1338</v>
      </c>
      <c r="C30" s="8"/>
      <c r="D30" s="8"/>
      <c r="E30" s="8"/>
      <c r="F30" s="8"/>
      <c r="G30" s="8"/>
      <c r="H30" s="644"/>
      <c r="I30" s="713"/>
      <c r="J30" s="8"/>
      <c r="K30" s="8" t="s">
        <v>62</v>
      </c>
      <c r="L30" s="10">
        <f t="shared" ref="L30:W30" si="11">SUM(L31,L60,L66,)</f>
        <v>1550002.76</v>
      </c>
      <c r="M30" s="10">
        <f t="shared" si="11"/>
        <v>1852024.8</v>
      </c>
      <c r="N30" s="10">
        <f t="shared" si="11"/>
        <v>1076243.3</v>
      </c>
      <c r="O30" s="10">
        <f t="shared" si="11"/>
        <v>2150989.3000000003</v>
      </c>
      <c r="P30" s="10">
        <f t="shared" si="11"/>
        <v>2150989.3000000003</v>
      </c>
      <c r="Q30" s="10">
        <f t="shared" si="11"/>
        <v>0</v>
      </c>
      <c r="R30" s="10">
        <f t="shared" si="11"/>
        <v>2150989.3000000003</v>
      </c>
      <c r="S30" s="10">
        <f t="shared" si="11"/>
        <v>2150989.3000000003</v>
      </c>
      <c r="T30" s="10">
        <f t="shared" si="11"/>
        <v>0</v>
      </c>
      <c r="U30" s="10">
        <f t="shared" si="11"/>
        <v>2150989.3000000003</v>
      </c>
      <c r="V30" s="10">
        <f t="shared" si="11"/>
        <v>2150989.3000000003</v>
      </c>
      <c r="W30" s="10">
        <f t="shared" si="11"/>
        <v>0</v>
      </c>
    </row>
    <row r="31" spans="1:23">
      <c r="A31" s="234" t="s">
        <v>9</v>
      </c>
      <c r="B31" s="421" t="s">
        <v>67</v>
      </c>
      <c r="C31" s="421"/>
      <c r="D31" s="421"/>
      <c r="E31" s="421"/>
      <c r="F31" s="421"/>
      <c r="G31" s="421"/>
      <c r="H31" s="421"/>
      <c r="I31" s="421"/>
      <c r="J31" s="421"/>
      <c r="K31" s="421"/>
      <c r="L31" s="680">
        <f>SUM(L32,L43,L47,L57,)</f>
        <v>1515251.56</v>
      </c>
      <c r="M31" s="680">
        <f t="shared" ref="M31:W31" si="12">SUM(M32,M43,M47,M57,)</f>
        <v>1822310</v>
      </c>
      <c r="N31" s="680">
        <f t="shared" si="12"/>
        <v>1054881.1000000001</v>
      </c>
      <c r="O31" s="680">
        <f t="shared" si="12"/>
        <v>2114968.7000000002</v>
      </c>
      <c r="P31" s="680">
        <f t="shared" si="12"/>
        <v>2114968.7000000002</v>
      </c>
      <c r="Q31" s="680">
        <f t="shared" si="12"/>
        <v>0</v>
      </c>
      <c r="R31" s="680">
        <f t="shared" si="12"/>
        <v>2114968.7000000002</v>
      </c>
      <c r="S31" s="680">
        <f t="shared" si="12"/>
        <v>2114968.7000000002</v>
      </c>
      <c r="T31" s="680">
        <f t="shared" si="12"/>
        <v>0</v>
      </c>
      <c r="U31" s="680">
        <f t="shared" si="12"/>
        <v>2114968.7000000002</v>
      </c>
      <c r="V31" s="680">
        <f t="shared" si="12"/>
        <v>2114968.7000000002</v>
      </c>
      <c r="W31" s="680">
        <f t="shared" si="12"/>
        <v>0</v>
      </c>
    </row>
    <row r="32" spans="1:23">
      <c r="A32" s="235" t="s">
        <v>57</v>
      </c>
      <c r="B32" s="229"/>
      <c r="C32" s="387"/>
      <c r="D32" s="383"/>
      <c r="E32" s="229"/>
      <c r="F32" s="229"/>
      <c r="G32" s="229"/>
      <c r="H32" s="250"/>
      <c r="I32" s="398"/>
      <c r="J32" s="387"/>
      <c r="K32" s="383"/>
      <c r="L32" s="22">
        <f t="shared" ref="L32:W32" si="13">L33+L38</f>
        <v>6025.82</v>
      </c>
      <c r="M32" s="22">
        <f t="shared" si="13"/>
        <v>7401.2</v>
      </c>
      <c r="N32" s="22">
        <f t="shared" si="13"/>
        <v>3505.7</v>
      </c>
      <c r="O32" s="22">
        <f t="shared" si="13"/>
        <v>7969.2000000000007</v>
      </c>
      <c r="P32" s="22">
        <f t="shared" si="13"/>
        <v>7969.2000000000007</v>
      </c>
      <c r="Q32" s="22">
        <f t="shared" si="13"/>
        <v>0</v>
      </c>
      <c r="R32" s="22">
        <f t="shared" si="13"/>
        <v>7969.2000000000007</v>
      </c>
      <c r="S32" s="22">
        <f t="shared" si="13"/>
        <v>7969.2000000000007</v>
      </c>
      <c r="T32" s="22">
        <f t="shared" si="13"/>
        <v>0</v>
      </c>
      <c r="U32" s="22">
        <f t="shared" si="13"/>
        <v>7969.2000000000007</v>
      </c>
      <c r="V32" s="22">
        <f t="shared" si="13"/>
        <v>7969.2000000000007</v>
      </c>
      <c r="W32" s="22">
        <f t="shared" si="13"/>
        <v>0</v>
      </c>
    </row>
    <row r="33" spans="1:23" ht="37.5">
      <c r="A33" s="225" t="s">
        <v>10</v>
      </c>
      <c r="B33" s="229" t="s">
        <v>68</v>
      </c>
      <c r="C33" s="218"/>
      <c r="D33" s="218"/>
      <c r="E33" s="229"/>
      <c r="F33" s="229"/>
      <c r="G33" s="229"/>
      <c r="H33" s="250">
        <v>100</v>
      </c>
      <c r="I33" s="54"/>
      <c r="J33" s="218"/>
      <c r="K33" s="218"/>
      <c r="L33" s="25">
        <f t="shared" ref="L33:W33" si="14">SUM(L34:L37)</f>
        <v>4738.33</v>
      </c>
      <c r="M33" s="25">
        <f t="shared" si="14"/>
        <v>5310.7</v>
      </c>
      <c r="N33" s="25">
        <f t="shared" si="14"/>
        <v>3211.2999999999997</v>
      </c>
      <c r="O33" s="25">
        <f t="shared" si="14"/>
        <v>7864.6</v>
      </c>
      <c r="P33" s="25">
        <f t="shared" si="14"/>
        <v>7864.6</v>
      </c>
      <c r="Q33" s="25">
        <f t="shared" si="14"/>
        <v>0</v>
      </c>
      <c r="R33" s="25">
        <f t="shared" si="14"/>
        <v>7864.6</v>
      </c>
      <c r="S33" s="25">
        <f t="shared" si="14"/>
        <v>7864.6</v>
      </c>
      <c r="T33" s="25">
        <f t="shared" si="14"/>
        <v>0</v>
      </c>
      <c r="U33" s="25">
        <f t="shared" si="14"/>
        <v>7864.6</v>
      </c>
      <c r="V33" s="25">
        <f t="shared" si="14"/>
        <v>7864.6</v>
      </c>
      <c r="W33" s="25">
        <f t="shared" si="14"/>
        <v>0</v>
      </c>
    </row>
    <row r="34" spans="1:23" ht="131.25">
      <c r="A34" s="225" t="s">
        <v>326</v>
      </c>
      <c r="B34" s="229" t="s">
        <v>164</v>
      </c>
      <c r="C34" s="218"/>
      <c r="D34" s="226" t="s">
        <v>398</v>
      </c>
      <c r="E34" s="238" t="s">
        <v>146</v>
      </c>
      <c r="F34" s="238" t="s">
        <v>97</v>
      </c>
      <c r="G34" s="238" t="s">
        <v>188</v>
      </c>
      <c r="H34" s="250">
        <v>100</v>
      </c>
      <c r="I34" s="230" t="s">
        <v>1121</v>
      </c>
      <c r="J34" s="218"/>
      <c r="K34" s="218"/>
      <c r="L34" s="25">
        <f>508.9+151.4</f>
        <v>660.3</v>
      </c>
      <c r="M34" s="25">
        <f>570+170</f>
        <v>740</v>
      </c>
      <c r="N34" s="25">
        <f>365.4+108.7</f>
        <v>474.09999999999997</v>
      </c>
      <c r="O34" s="25">
        <f>P34+Q34</f>
        <v>2988.5</v>
      </c>
      <c r="P34" s="25">
        <v>2988.5</v>
      </c>
      <c r="Q34" s="25"/>
      <c r="R34" s="25">
        <f>S34+T34</f>
        <v>2988.5</v>
      </c>
      <c r="S34" s="25">
        <v>2988.5</v>
      </c>
      <c r="T34" s="25"/>
      <c r="U34" s="684">
        <f t="shared" ref="U34:U37" si="15">V34+W34</f>
        <v>2988.5</v>
      </c>
      <c r="V34" s="25">
        <v>2988.5</v>
      </c>
      <c r="W34" s="25"/>
    </row>
    <row r="35" spans="1:23" ht="225">
      <c r="A35" s="225" t="s">
        <v>733</v>
      </c>
      <c r="B35" s="229" t="s">
        <v>165</v>
      </c>
      <c r="C35" s="218"/>
      <c r="D35" s="226" t="s">
        <v>405</v>
      </c>
      <c r="E35" s="238" t="s">
        <v>146</v>
      </c>
      <c r="F35" s="238" t="s">
        <v>97</v>
      </c>
      <c r="G35" s="238" t="s">
        <v>187</v>
      </c>
      <c r="H35" s="250">
        <v>100</v>
      </c>
      <c r="I35" s="230" t="s">
        <v>329</v>
      </c>
      <c r="J35" s="218"/>
      <c r="K35" s="218"/>
      <c r="L35" s="25">
        <f>1943.3+643.6</f>
        <v>2586.9</v>
      </c>
      <c r="M35" s="25"/>
      <c r="N35" s="25"/>
      <c r="O35" s="25">
        <f t="shared" ref="O35:O37" si="16">P35+Q35</f>
        <v>0</v>
      </c>
      <c r="P35" s="25"/>
      <c r="Q35" s="25"/>
      <c r="R35" s="25">
        <f t="shared" ref="R35:R37" si="17">S35+T35</f>
        <v>0</v>
      </c>
      <c r="S35" s="25"/>
      <c r="T35" s="25"/>
      <c r="U35" s="684">
        <f t="shared" si="15"/>
        <v>0</v>
      </c>
      <c r="V35" s="25"/>
      <c r="W35" s="25"/>
    </row>
    <row r="36" spans="1:23" ht="225">
      <c r="A36" s="225" t="s">
        <v>1039</v>
      </c>
      <c r="B36" s="229" t="s">
        <v>1122</v>
      </c>
      <c r="C36" s="218"/>
      <c r="D36" s="226" t="s">
        <v>405</v>
      </c>
      <c r="E36" s="226" t="s">
        <v>146</v>
      </c>
      <c r="F36" s="226" t="s">
        <v>97</v>
      </c>
      <c r="G36" s="238" t="s">
        <v>1123</v>
      </c>
      <c r="H36" s="250">
        <v>100</v>
      </c>
      <c r="I36" s="230" t="s">
        <v>329</v>
      </c>
      <c r="J36" s="218"/>
      <c r="K36" s="218"/>
      <c r="L36" s="25">
        <f>1198.9+292.23</f>
        <v>1491.13</v>
      </c>
      <c r="M36" s="25"/>
      <c r="N36" s="25"/>
      <c r="O36" s="25">
        <f t="shared" si="16"/>
        <v>0</v>
      </c>
      <c r="P36" s="25"/>
      <c r="Q36" s="25"/>
      <c r="R36" s="25">
        <f t="shared" si="17"/>
        <v>0</v>
      </c>
      <c r="S36" s="25"/>
      <c r="T36" s="25"/>
      <c r="U36" s="684">
        <f t="shared" si="15"/>
        <v>0</v>
      </c>
      <c r="V36" s="25"/>
      <c r="W36" s="25"/>
    </row>
    <row r="37" spans="1:23" ht="225">
      <c r="A37" s="225" t="s">
        <v>1124</v>
      </c>
      <c r="B37" s="229" t="s">
        <v>1125</v>
      </c>
      <c r="C37" s="218"/>
      <c r="D37" s="226" t="s">
        <v>405</v>
      </c>
      <c r="E37" s="226" t="s">
        <v>146</v>
      </c>
      <c r="F37" s="226" t="s">
        <v>97</v>
      </c>
      <c r="G37" s="238" t="s">
        <v>1126</v>
      </c>
      <c r="H37" s="250">
        <v>100</v>
      </c>
      <c r="I37" s="230" t="s">
        <v>329</v>
      </c>
      <c r="J37" s="218"/>
      <c r="K37" s="218"/>
      <c r="L37" s="25"/>
      <c r="M37" s="25">
        <f>3522.1+1048.6</f>
        <v>4570.7</v>
      </c>
      <c r="N37" s="25">
        <f>2161.6+575.6</f>
        <v>2737.2</v>
      </c>
      <c r="O37" s="25">
        <f t="shared" si="16"/>
        <v>4876.1000000000004</v>
      </c>
      <c r="P37" s="25">
        <v>4876.1000000000004</v>
      </c>
      <c r="Q37" s="25"/>
      <c r="R37" s="25">
        <f t="shared" si="17"/>
        <v>4876.1000000000004</v>
      </c>
      <c r="S37" s="25">
        <v>4876.1000000000004</v>
      </c>
      <c r="T37" s="25"/>
      <c r="U37" s="684">
        <f t="shared" si="15"/>
        <v>4876.1000000000004</v>
      </c>
      <c r="V37" s="25">
        <v>4876.1000000000004</v>
      </c>
      <c r="W37" s="25"/>
    </row>
    <row r="38" spans="1:23" ht="37.5">
      <c r="A38" s="225" t="s">
        <v>11</v>
      </c>
      <c r="B38" s="229" t="s">
        <v>69</v>
      </c>
      <c r="C38" s="374"/>
      <c r="D38" s="375"/>
      <c r="E38" s="229"/>
      <c r="F38" s="229"/>
      <c r="G38" s="229"/>
      <c r="H38" s="250">
        <v>200</v>
      </c>
      <c r="I38" s="398"/>
      <c r="J38" s="374"/>
      <c r="K38" s="375"/>
      <c r="L38" s="25">
        <f>SUM(L39:L42)</f>
        <v>1287.49</v>
      </c>
      <c r="M38" s="25">
        <f>SUM(M39:M42)</f>
        <v>2090.5</v>
      </c>
      <c r="N38" s="25">
        <f>SUM(N39:N42)</f>
        <v>294.39999999999998</v>
      </c>
      <c r="O38" s="25">
        <f>SUM(O39:O42)</f>
        <v>104.6</v>
      </c>
      <c r="P38" s="25">
        <f>SUM(P39:P42)</f>
        <v>104.6</v>
      </c>
      <c r="Q38" s="25">
        <f t="shared" ref="Q38:W38" si="18">SUM(Q39:Q40)</f>
        <v>0</v>
      </c>
      <c r="R38" s="25">
        <f>SUM(R39:R42)</f>
        <v>104.6</v>
      </c>
      <c r="S38" s="25">
        <f>SUM(S39:S42)</f>
        <v>104.6</v>
      </c>
      <c r="T38" s="25">
        <f t="shared" si="18"/>
        <v>0</v>
      </c>
      <c r="U38" s="25">
        <f>SUM(U39:U42)</f>
        <v>104.6</v>
      </c>
      <c r="V38" s="25">
        <f>SUM(V39:V42)</f>
        <v>104.6</v>
      </c>
      <c r="W38" s="25">
        <f t="shared" si="18"/>
        <v>0</v>
      </c>
    </row>
    <row r="39" spans="1:23" ht="131.25">
      <c r="A39" s="225" t="s">
        <v>318</v>
      </c>
      <c r="B39" s="229" t="s">
        <v>164</v>
      </c>
      <c r="C39" s="374"/>
      <c r="D39" s="226" t="s">
        <v>399</v>
      </c>
      <c r="E39" s="238" t="s">
        <v>146</v>
      </c>
      <c r="F39" s="238" t="s">
        <v>97</v>
      </c>
      <c r="G39" s="238" t="s">
        <v>188</v>
      </c>
      <c r="H39" s="250">
        <v>200</v>
      </c>
      <c r="I39" s="328" t="s">
        <v>330</v>
      </c>
      <c r="J39" s="374"/>
      <c r="K39" s="375"/>
      <c r="L39" s="25">
        <f>443+544.45</f>
        <v>987.45</v>
      </c>
      <c r="M39" s="25">
        <f>760+1254.4</f>
        <v>2014.4</v>
      </c>
      <c r="N39" s="25">
        <f>37.4+222.7</f>
        <v>260.09999999999997</v>
      </c>
      <c r="O39" s="25">
        <f t="shared" ref="O39:O42" si="19">P39+Q39</f>
        <v>28.5</v>
      </c>
      <c r="P39" s="25">
        <v>28.5</v>
      </c>
      <c r="Q39" s="25"/>
      <c r="R39" s="25">
        <f t="shared" ref="R39:R42" si="20">S39+T39</f>
        <v>28.5</v>
      </c>
      <c r="S39" s="25">
        <v>28.5</v>
      </c>
      <c r="T39" s="25"/>
      <c r="U39" s="684">
        <f t="shared" ref="U39:U42" si="21">V39+W39</f>
        <v>28.5</v>
      </c>
      <c r="V39" s="25">
        <v>28.5</v>
      </c>
      <c r="W39" s="25"/>
    </row>
    <row r="40" spans="1:23" ht="225">
      <c r="A40" s="225" t="s">
        <v>210</v>
      </c>
      <c r="B40" s="229" t="s">
        <v>165</v>
      </c>
      <c r="C40" s="374"/>
      <c r="D40" s="226" t="s">
        <v>405</v>
      </c>
      <c r="E40" s="238" t="s">
        <v>146</v>
      </c>
      <c r="F40" s="238" t="s">
        <v>97</v>
      </c>
      <c r="G40" s="238" t="s">
        <v>187</v>
      </c>
      <c r="H40" s="250">
        <v>200</v>
      </c>
      <c r="I40" s="328" t="s">
        <v>329</v>
      </c>
      <c r="J40" s="374"/>
      <c r="K40" s="375"/>
      <c r="L40" s="25">
        <f>14.4+57.63</f>
        <v>72.03</v>
      </c>
      <c r="M40" s="25"/>
      <c r="N40" s="25"/>
      <c r="O40" s="25">
        <f t="shared" si="19"/>
        <v>0</v>
      </c>
      <c r="P40" s="25"/>
      <c r="Q40" s="25"/>
      <c r="R40" s="25">
        <f t="shared" si="20"/>
        <v>0</v>
      </c>
      <c r="S40" s="25"/>
      <c r="T40" s="25"/>
      <c r="U40" s="684">
        <f t="shared" si="21"/>
        <v>0</v>
      </c>
      <c r="V40" s="25"/>
      <c r="W40" s="25"/>
    </row>
    <row r="41" spans="1:23" ht="225">
      <c r="A41" s="225" t="s">
        <v>331</v>
      </c>
      <c r="B41" s="229" t="s">
        <v>1122</v>
      </c>
      <c r="C41" s="218"/>
      <c r="D41" s="226" t="s">
        <v>405</v>
      </c>
      <c r="E41" s="226" t="s">
        <v>146</v>
      </c>
      <c r="F41" s="226" t="s">
        <v>97</v>
      </c>
      <c r="G41" s="238" t="s">
        <v>1123</v>
      </c>
      <c r="H41" s="250">
        <v>200</v>
      </c>
      <c r="I41" s="328" t="s">
        <v>329</v>
      </c>
      <c r="J41" s="374"/>
      <c r="K41" s="375"/>
      <c r="L41" s="25">
        <f>188.8+39.21</f>
        <v>228.01000000000002</v>
      </c>
      <c r="M41" s="25"/>
      <c r="N41" s="25"/>
      <c r="O41" s="25">
        <f t="shared" si="19"/>
        <v>0</v>
      </c>
      <c r="P41" s="25"/>
      <c r="Q41" s="25"/>
      <c r="R41" s="25">
        <f t="shared" si="20"/>
        <v>0</v>
      </c>
      <c r="S41" s="25"/>
      <c r="T41" s="25"/>
      <c r="U41" s="684">
        <f t="shared" si="21"/>
        <v>0</v>
      </c>
      <c r="V41" s="25"/>
      <c r="W41" s="25"/>
    </row>
    <row r="42" spans="1:23" ht="225">
      <c r="A42" s="225" t="s">
        <v>1059</v>
      </c>
      <c r="B42" s="229" t="s">
        <v>1125</v>
      </c>
      <c r="C42" s="218"/>
      <c r="D42" s="226" t="s">
        <v>405</v>
      </c>
      <c r="E42" s="226" t="s">
        <v>146</v>
      </c>
      <c r="F42" s="226" t="s">
        <v>97</v>
      </c>
      <c r="G42" s="238" t="s">
        <v>1126</v>
      </c>
      <c r="H42" s="250">
        <v>200</v>
      </c>
      <c r="I42" s="328" t="s">
        <v>329</v>
      </c>
      <c r="J42" s="374"/>
      <c r="K42" s="375"/>
      <c r="L42" s="25"/>
      <c r="M42" s="25">
        <f>25+51.1</f>
        <v>76.099999999999994</v>
      </c>
      <c r="N42" s="25">
        <f>14.3+20</f>
        <v>34.299999999999997</v>
      </c>
      <c r="O42" s="25">
        <f t="shared" si="19"/>
        <v>76.099999999999994</v>
      </c>
      <c r="P42" s="25">
        <v>76.099999999999994</v>
      </c>
      <c r="Q42" s="25"/>
      <c r="R42" s="25">
        <f t="shared" si="20"/>
        <v>76.099999999999994</v>
      </c>
      <c r="S42" s="25">
        <v>76.099999999999994</v>
      </c>
      <c r="T42" s="25"/>
      <c r="U42" s="684">
        <f t="shared" si="21"/>
        <v>76.099999999999994</v>
      </c>
      <c r="V42" s="25">
        <v>76.099999999999994</v>
      </c>
      <c r="W42" s="25"/>
    </row>
    <row r="43" spans="1:23">
      <c r="A43" s="235" t="s">
        <v>73</v>
      </c>
      <c r="B43" s="229"/>
      <c r="C43" s="387"/>
      <c r="D43" s="383"/>
      <c r="E43" s="229"/>
      <c r="F43" s="229"/>
      <c r="G43" s="229"/>
      <c r="H43" s="250"/>
      <c r="I43" s="398"/>
      <c r="J43" s="387"/>
      <c r="K43" s="383"/>
      <c r="L43" s="22">
        <f>SUM(L44)</f>
        <v>529.44000000000005</v>
      </c>
      <c r="M43" s="22">
        <f t="shared" ref="M43:W43" si="22">SUM(M44)</f>
        <v>858.7</v>
      </c>
      <c r="N43" s="22">
        <f t="shared" si="22"/>
        <v>301.89999999999998</v>
      </c>
      <c r="O43" s="22">
        <f t="shared" si="22"/>
        <v>686.4</v>
      </c>
      <c r="P43" s="22">
        <f t="shared" si="22"/>
        <v>686.4</v>
      </c>
      <c r="Q43" s="22">
        <f t="shared" si="22"/>
        <v>0</v>
      </c>
      <c r="R43" s="22">
        <f t="shared" si="22"/>
        <v>686.4</v>
      </c>
      <c r="S43" s="22">
        <f t="shared" si="22"/>
        <v>686.4</v>
      </c>
      <c r="T43" s="22">
        <f t="shared" si="22"/>
        <v>0</v>
      </c>
      <c r="U43" s="22">
        <f t="shared" si="22"/>
        <v>686.4</v>
      </c>
      <c r="V43" s="22">
        <f t="shared" si="22"/>
        <v>686.4</v>
      </c>
      <c r="W43" s="22">
        <f t="shared" si="22"/>
        <v>0</v>
      </c>
    </row>
    <row r="44" spans="1:23" ht="37.5">
      <c r="A44" s="225" t="s">
        <v>21</v>
      </c>
      <c r="B44" s="229" t="s">
        <v>89</v>
      </c>
      <c r="C44" s="374"/>
      <c r="D44" s="375"/>
      <c r="E44" s="229"/>
      <c r="F44" s="229"/>
      <c r="G44" s="229"/>
      <c r="H44" s="250">
        <v>200</v>
      </c>
      <c r="I44" s="398"/>
      <c r="J44" s="374"/>
      <c r="K44" s="375"/>
      <c r="L44" s="25">
        <f t="shared" ref="L44:W44" si="23">SUM(L45:L46)</f>
        <v>529.44000000000005</v>
      </c>
      <c r="M44" s="25">
        <f t="shared" si="23"/>
        <v>858.7</v>
      </c>
      <c r="N44" s="25">
        <f t="shared" si="23"/>
        <v>301.89999999999998</v>
      </c>
      <c r="O44" s="25">
        <f t="shared" si="23"/>
        <v>686.4</v>
      </c>
      <c r="P44" s="25">
        <f t="shared" si="23"/>
        <v>686.4</v>
      </c>
      <c r="Q44" s="25">
        <f t="shared" si="23"/>
        <v>0</v>
      </c>
      <c r="R44" s="25">
        <f t="shared" si="23"/>
        <v>686.4</v>
      </c>
      <c r="S44" s="25">
        <f t="shared" si="23"/>
        <v>686.4</v>
      </c>
      <c r="T44" s="25">
        <f t="shared" si="23"/>
        <v>0</v>
      </c>
      <c r="U44" s="25">
        <f t="shared" si="23"/>
        <v>686.4</v>
      </c>
      <c r="V44" s="25">
        <f t="shared" si="23"/>
        <v>686.4</v>
      </c>
      <c r="W44" s="25">
        <f t="shared" si="23"/>
        <v>0</v>
      </c>
    </row>
    <row r="45" spans="1:23" ht="187.5">
      <c r="A45" s="225" t="s">
        <v>42</v>
      </c>
      <c r="B45" s="229" t="s">
        <v>216</v>
      </c>
      <c r="C45" s="374"/>
      <c r="D45" s="226" t="s">
        <v>406</v>
      </c>
      <c r="E45" s="238" t="s">
        <v>146</v>
      </c>
      <c r="F45" s="238" t="s">
        <v>97</v>
      </c>
      <c r="G45" s="238" t="s">
        <v>190</v>
      </c>
      <c r="H45" s="250">
        <v>200</v>
      </c>
      <c r="I45" s="328" t="s">
        <v>332</v>
      </c>
      <c r="J45" s="374"/>
      <c r="K45" s="375"/>
      <c r="L45" s="25">
        <v>46.14</v>
      </c>
      <c r="M45" s="25">
        <v>465.5</v>
      </c>
      <c r="N45" s="25">
        <v>0</v>
      </c>
      <c r="O45" s="25">
        <f t="shared" ref="O45:O46" si="24">P45+Q45</f>
        <v>208.7</v>
      </c>
      <c r="P45" s="25">
        <v>208.7</v>
      </c>
      <c r="Q45" s="25"/>
      <c r="R45" s="25">
        <f t="shared" ref="R45:R46" si="25">S45+T45</f>
        <v>208.7</v>
      </c>
      <c r="S45" s="25">
        <v>208.7</v>
      </c>
      <c r="T45" s="25"/>
      <c r="U45" s="684">
        <f t="shared" ref="U45:U46" si="26">V45+W45</f>
        <v>208.7</v>
      </c>
      <c r="V45" s="25">
        <v>208.7</v>
      </c>
      <c r="W45" s="25"/>
    </row>
    <row r="46" spans="1:23" ht="187.5">
      <c r="A46" s="225" t="s">
        <v>74</v>
      </c>
      <c r="B46" s="229" t="s">
        <v>215</v>
      </c>
      <c r="C46" s="374"/>
      <c r="D46" s="226" t="s">
        <v>407</v>
      </c>
      <c r="E46" s="238" t="s">
        <v>80</v>
      </c>
      <c r="F46" s="238" t="s">
        <v>93</v>
      </c>
      <c r="G46" s="238" t="s">
        <v>189</v>
      </c>
      <c r="H46" s="250">
        <v>200</v>
      </c>
      <c r="I46" s="328" t="s">
        <v>333</v>
      </c>
      <c r="J46" s="374"/>
      <c r="K46" s="375"/>
      <c r="L46" s="25">
        <v>483.3</v>
      </c>
      <c r="M46" s="25">
        <v>393.2</v>
      </c>
      <c r="N46" s="25">
        <v>301.89999999999998</v>
      </c>
      <c r="O46" s="25">
        <f t="shared" si="24"/>
        <v>477.7</v>
      </c>
      <c r="P46" s="25">
        <v>477.7</v>
      </c>
      <c r="Q46" s="25"/>
      <c r="R46" s="25">
        <f t="shared" si="25"/>
        <v>477.7</v>
      </c>
      <c r="S46" s="25">
        <v>477.7</v>
      </c>
      <c r="T46" s="25"/>
      <c r="U46" s="684">
        <f t="shared" si="26"/>
        <v>477.7</v>
      </c>
      <c r="V46" s="25">
        <v>477.7</v>
      </c>
      <c r="W46" s="25"/>
    </row>
    <row r="47" spans="1:23">
      <c r="A47" s="235" t="s">
        <v>75</v>
      </c>
      <c r="B47" s="229"/>
      <c r="C47" s="387"/>
      <c r="D47" s="383"/>
      <c r="E47" s="229"/>
      <c r="F47" s="229"/>
      <c r="G47" s="229"/>
      <c r="H47" s="250"/>
      <c r="I47" s="398"/>
      <c r="J47" s="387"/>
      <c r="K47" s="383"/>
      <c r="L47" s="22">
        <f>SUM(L48)</f>
        <v>1487360.8</v>
      </c>
      <c r="M47" s="22">
        <f t="shared" ref="M47:W47" si="27">SUM(M48)</f>
        <v>1787821.4000000001</v>
      </c>
      <c r="N47" s="22">
        <f t="shared" si="27"/>
        <v>1033587.7000000001</v>
      </c>
      <c r="O47" s="22">
        <f t="shared" si="27"/>
        <v>2069069.3000000003</v>
      </c>
      <c r="P47" s="22">
        <f t="shared" si="27"/>
        <v>2069069.3000000003</v>
      </c>
      <c r="Q47" s="22">
        <f t="shared" si="27"/>
        <v>0</v>
      </c>
      <c r="R47" s="22">
        <f t="shared" si="27"/>
        <v>2069069.3000000003</v>
      </c>
      <c r="S47" s="22">
        <f t="shared" si="27"/>
        <v>2069069.3000000003</v>
      </c>
      <c r="T47" s="22">
        <f t="shared" si="27"/>
        <v>0</v>
      </c>
      <c r="U47" s="22">
        <f t="shared" si="27"/>
        <v>2069069.3000000003</v>
      </c>
      <c r="V47" s="22">
        <f t="shared" si="27"/>
        <v>2069069.3000000003</v>
      </c>
      <c r="W47" s="22">
        <f t="shared" si="27"/>
        <v>0</v>
      </c>
    </row>
    <row r="48" spans="1:23">
      <c r="A48" s="235" t="s">
        <v>37</v>
      </c>
      <c r="B48" s="229"/>
      <c r="C48" s="387"/>
      <c r="D48" s="383"/>
      <c r="E48" s="229"/>
      <c r="F48" s="229"/>
      <c r="G48" s="229"/>
      <c r="H48" s="250"/>
      <c r="I48" s="398"/>
      <c r="J48" s="387"/>
      <c r="K48" s="383"/>
      <c r="L48" s="22">
        <f t="shared" ref="L48:W48" si="28">SUM(L49,L52)</f>
        <v>1487360.8</v>
      </c>
      <c r="M48" s="22">
        <f t="shared" si="28"/>
        <v>1787821.4000000001</v>
      </c>
      <c r="N48" s="22">
        <f t="shared" si="28"/>
        <v>1033587.7000000001</v>
      </c>
      <c r="O48" s="22">
        <f t="shared" si="28"/>
        <v>2069069.3000000003</v>
      </c>
      <c r="P48" s="22">
        <f t="shared" si="28"/>
        <v>2069069.3000000003</v>
      </c>
      <c r="Q48" s="22">
        <f t="shared" si="28"/>
        <v>0</v>
      </c>
      <c r="R48" s="22">
        <f t="shared" si="28"/>
        <v>2069069.3000000003</v>
      </c>
      <c r="S48" s="22">
        <f t="shared" si="28"/>
        <v>2069069.3000000003</v>
      </c>
      <c r="T48" s="22">
        <f t="shared" si="28"/>
        <v>0</v>
      </c>
      <c r="U48" s="22">
        <f t="shared" si="28"/>
        <v>2069069.3000000003</v>
      </c>
      <c r="V48" s="22">
        <f t="shared" si="28"/>
        <v>2069069.3000000003</v>
      </c>
      <c r="W48" s="22">
        <f t="shared" si="28"/>
        <v>0</v>
      </c>
    </row>
    <row r="49" spans="1:23" ht="93.75">
      <c r="A49" s="269" t="s">
        <v>38</v>
      </c>
      <c r="B49" s="229" t="s">
        <v>78</v>
      </c>
      <c r="C49" s="387"/>
      <c r="D49" s="383"/>
      <c r="E49" s="229"/>
      <c r="F49" s="229"/>
      <c r="G49" s="229"/>
      <c r="H49" s="250">
        <v>600</v>
      </c>
      <c r="I49" s="398"/>
      <c r="J49" s="387"/>
      <c r="K49" s="383"/>
      <c r="L49" s="25">
        <f t="shared" ref="L49:W49" si="29">SUM(L50:L51)</f>
        <v>1421169.1</v>
      </c>
      <c r="M49" s="25">
        <f t="shared" si="29"/>
        <v>1707474.6</v>
      </c>
      <c r="N49" s="25">
        <f t="shared" si="29"/>
        <v>987716.8</v>
      </c>
      <c r="O49" s="25">
        <f t="shared" si="29"/>
        <v>2009694.2000000002</v>
      </c>
      <c r="P49" s="25">
        <f t="shared" si="29"/>
        <v>2009694.2000000002</v>
      </c>
      <c r="Q49" s="25">
        <f t="shared" si="29"/>
        <v>0</v>
      </c>
      <c r="R49" s="25">
        <f t="shared" si="29"/>
        <v>2009694.2000000002</v>
      </c>
      <c r="S49" s="25">
        <f t="shared" si="29"/>
        <v>2009694.2000000002</v>
      </c>
      <c r="T49" s="25">
        <f t="shared" si="29"/>
        <v>0</v>
      </c>
      <c r="U49" s="25">
        <f t="shared" si="29"/>
        <v>2009694.2000000002</v>
      </c>
      <c r="V49" s="25">
        <f t="shared" si="29"/>
        <v>2009694.2000000002</v>
      </c>
      <c r="W49" s="25">
        <f t="shared" si="29"/>
        <v>0</v>
      </c>
    </row>
    <row r="50" spans="1:23" ht="150">
      <c r="A50" s="269" t="s">
        <v>45</v>
      </c>
      <c r="B50" s="229" t="s">
        <v>1375</v>
      </c>
      <c r="C50" s="723" t="s">
        <v>219</v>
      </c>
      <c r="D50" s="226" t="s">
        <v>416</v>
      </c>
      <c r="E50" s="229" t="s">
        <v>723</v>
      </c>
      <c r="F50" s="229" t="s">
        <v>724</v>
      </c>
      <c r="G50" s="229" t="s">
        <v>725</v>
      </c>
      <c r="H50" s="250">
        <v>621</v>
      </c>
      <c r="I50" s="230" t="s">
        <v>726</v>
      </c>
      <c r="J50" s="387"/>
      <c r="K50" s="383"/>
      <c r="L50" s="25">
        <v>621964.19999999995</v>
      </c>
      <c r="M50" s="25">
        <v>701229.4</v>
      </c>
      <c r="N50" s="25">
        <v>415226.8</v>
      </c>
      <c r="O50" s="25">
        <f t="shared" ref="O50:O51" si="30">P50+Q50</f>
        <v>827428.9</v>
      </c>
      <c r="P50" s="25">
        <v>827428.9</v>
      </c>
      <c r="Q50" s="25"/>
      <c r="R50" s="25">
        <f t="shared" ref="R50:R51" si="31">S50+T50</f>
        <v>827428.9</v>
      </c>
      <c r="S50" s="25">
        <v>827428.9</v>
      </c>
      <c r="T50" s="25"/>
      <c r="U50" s="684">
        <f t="shared" ref="U50:U51" si="32">V50+W50</f>
        <v>827428.9</v>
      </c>
      <c r="V50" s="25">
        <v>827428.9</v>
      </c>
      <c r="W50" s="25"/>
    </row>
    <row r="51" spans="1:23" ht="187.5">
      <c r="A51" s="38" t="s">
        <v>656</v>
      </c>
      <c r="B51" s="229" t="s">
        <v>722</v>
      </c>
      <c r="C51" s="372" t="s">
        <v>338</v>
      </c>
      <c r="D51" s="226" t="s">
        <v>417</v>
      </c>
      <c r="E51" s="226" t="s">
        <v>146</v>
      </c>
      <c r="F51" s="226" t="s">
        <v>143</v>
      </c>
      <c r="G51" s="226" t="s">
        <v>166</v>
      </c>
      <c r="H51" s="250">
        <v>621</v>
      </c>
      <c r="I51" s="724" t="s">
        <v>334</v>
      </c>
      <c r="J51" s="387"/>
      <c r="K51" s="383"/>
      <c r="L51" s="684">
        <v>799204.9</v>
      </c>
      <c r="M51" s="684">
        <v>1006245.2</v>
      </c>
      <c r="N51" s="684">
        <v>572490</v>
      </c>
      <c r="O51" s="25">
        <f t="shared" si="30"/>
        <v>1182265.3</v>
      </c>
      <c r="P51" s="25">
        <v>1182265.3</v>
      </c>
      <c r="Q51" s="25"/>
      <c r="R51" s="25">
        <f t="shared" si="31"/>
        <v>1182265.3</v>
      </c>
      <c r="S51" s="25">
        <v>1182265.3</v>
      </c>
      <c r="T51" s="25"/>
      <c r="U51" s="684">
        <f t="shared" si="32"/>
        <v>1182265.3</v>
      </c>
      <c r="V51" s="25">
        <v>1182265.3</v>
      </c>
      <c r="W51" s="684"/>
    </row>
    <row r="52" spans="1:23" ht="37.5">
      <c r="A52" s="269" t="s">
        <v>40</v>
      </c>
      <c r="B52" s="30" t="s">
        <v>39</v>
      </c>
      <c r="C52" s="387"/>
      <c r="D52" s="383"/>
      <c r="E52" s="229"/>
      <c r="F52" s="229"/>
      <c r="G52" s="229"/>
      <c r="H52" s="250">
        <v>600</v>
      </c>
      <c r="I52" s="398"/>
      <c r="J52" s="387"/>
      <c r="K52" s="383"/>
      <c r="L52" s="25">
        <f t="shared" ref="L52:W52" si="33">SUM(L53:L56)</f>
        <v>66191.700000000012</v>
      </c>
      <c r="M52" s="25">
        <f t="shared" si="33"/>
        <v>80346.799999999988</v>
      </c>
      <c r="N52" s="25">
        <f t="shared" si="33"/>
        <v>45870.899999999994</v>
      </c>
      <c r="O52" s="25">
        <f t="shared" si="33"/>
        <v>59375.1</v>
      </c>
      <c r="P52" s="25">
        <f t="shared" si="33"/>
        <v>59375.1</v>
      </c>
      <c r="Q52" s="25">
        <f t="shared" si="33"/>
        <v>0</v>
      </c>
      <c r="R52" s="25">
        <f t="shared" si="33"/>
        <v>59375.1</v>
      </c>
      <c r="S52" s="25">
        <f t="shared" si="33"/>
        <v>59375.1</v>
      </c>
      <c r="T52" s="25">
        <f t="shared" si="33"/>
        <v>0</v>
      </c>
      <c r="U52" s="25">
        <f t="shared" si="33"/>
        <v>59375.1</v>
      </c>
      <c r="V52" s="25">
        <f t="shared" si="33"/>
        <v>59375.1</v>
      </c>
      <c r="W52" s="25">
        <f t="shared" si="33"/>
        <v>0</v>
      </c>
    </row>
    <row r="53" spans="1:23" ht="131.25">
      <c r="A53" s="725" t="s">
        <v>727</v>
      </c>
      <c r="B53" s="726" t="s">
        <v>1127</v>
      </c>
      <c r="C53" s="727"/>
      <c r="D53" s="226" t="s">
        <v>417</v>
      </c>
      <c r="E53" s="728" t="s">
        <v>146</v>
      </c>
      <c r="F53" s="728" t="s">
        <v>92</v>
      </c>
      <c r="G53" s="729" t="s">
        <v>217</v>
      </c>
      <c r="H53" s="730" t="s">
        <v>149</v>
      </c>
      <c r="I53" s="731" t="s">
        <v>335</v>
      </c>
      <c r="J53" s="732"/>
      <c r="K53" s="732"/>
      <c r="L53" s="685">
        <v>3030</v>
      </c>
      <c r="M53" s="686">
        <v>5183.2</v>
      </c>
      <c r="N53" s="686">
        <v>2047.1</v>
      </c>
      <c r="O53" s="25">
        <f t="shared" ref="O53:O56" si="34">P53+Q53</f>
        <v>5409.2</v>
      </c>
      <c r="P53" s="687">
        <v>5409.2</v>
      </c>
      <c r="Q53" s="687"/>
      <c r="R53" s="25">
        <f t="shared" ref="R53:R56" si="35">S53+T53</f>
        <v>5409.2</v>
      </c>
      <c r="S53" s="687">
        <v>5409.2</v>
      </c>
      <c r="T53" s="687"/>
      <c r="U53" s="684">
        <f t="shared" ref="U53:U56" si="36">V53+W53</f>
        <v>5409.2</v>
      </c>
      <c r="V53" s="687">
        <v>5409.2</v>
      </c>
      <c r="W53" s="687"/>
    </row>
    <row r="54" spans="1:23" ht="131.25">
      <c r="A54" s="725" t="s">
        <v>680</v>
      </c>
      <c r="B54" s="229" t="s">
        <v>728</v>
      </c>
      <c r="C54" s="372"/>
      <c r="D54" s="226" t="s">
        <v>407</v>
      </c>
      <c r="E54" s="226" t="s">
        <v>146</v>
      </c>
      <c r="F54" s="226" t="s">
        <v>143</v>
      </c>
      <c r="G54" s="226" t="s">
        <v>218</v>
      </c>
      <c r="H54" s="250">
        <v>622</v>
      </c>
      <c r="I54" s="230" t="s">
        <v>336</v>
      </c>
      <c r="J54" s="387"/>
      <c r="K54" s="383"/>
      <c r="L54" s="688">
        <v>14822.9</v>
      </c>
      <c r="M54" s="689">
        <v>17943.099999999999</v>
      </c>
      <c r="N54" s="689">
        <v>9053.1</v>
      </c>
      <c r="O54" s="25">
        <f t="shared" si="34"/>
        <v>0</v>
      </c>
      <c r="P54" s="684"/>
      <c r="Q54" s="684"/>
      <c r="R54" s="25">
        <f t="shared" si="35"/>
        <v>0</v>
      </c>
      <c r="S54" s="684"/>
      <c r="T54" s="684"/>
      <c r="U54" s="684">
        <f t="shared" si="36"/>
        <v>0</v>
      </c>
      <c r="V54" s="684"/>
      <c r="W54" s="684"/>
    </row>
    <row r="55" spans="1:23" ht="112.5">
      <c r="A55" s="725" t="s">
        <v>681</v>
      </c>
      <c r="B55" s="229" t="s">
        <v>729</v>
      </c>
      <c r="C55" s="372"/>
      <c r="D55" s="226" t="s">
        <v>658</v>
      </c>
      <c r="E55" s="226" t="s">
        <v>146</v>
      </c>
      <c r="F55" s="226" t="s">
        <v>143</v>
      </c>
      <c r="G55" s="226" t="s">
        <v>1128</v>
      </c>
      <c r="H55" s="250" t="s">
        <v>730</v>
      </c>
      <c r="I55" s="230" t="s">
        <v>731</v>
      </c>
      <c r="J55" s="387"/>
      <c r="K55" s="383"/>
      <c r="L55" s="688">
        <v>45241.8</v>
      </c>
      <c r="M55" s="689">
        <v>53121.599999999999</v>
      </c>
      <c r="N55" s="689">
        <v>31925</v>
      </c>
      <c r="O55" s="25">
        <f t="shared" si="34"/>
        <v>49996.800000000003</v>
      </c>
      <c r="P55" s="684">
        <v>49996.800000000003</v>
      </c>
      <c r="Q55" s="684"/>
      <c r="R55" s="25">
        <f t="shared" si="35"/>
        <v>49996.800000000003</v>
      </c>
      <c r="S55" s="684">
        <v>49996.800000000003</v>
      </c>
      <c r="T55" s="684"/>
      <c r="U55" s="684">
        <f t="shared" si="36"/>
        <v>49996.800000000003</v>
      </c>
      <c r="V55" s="684">
        <v>49996.800000000003</v>
      </c>
      <c r="W55" s="684"/>
    </row>
    <row r="56" spans="1:23" ht="187.5">
      <c r="A56" s="725" t="s">
        <v>682</v>
      </c>
      <c r="B56" s="230" t="s">
        <v>732</v>
      </c>
      <c r="C56" s="372"/>
      <c r="D56" s="226" t="s">
        <v>399</v>
      </c>
      <c r="E56" s="226" t="s">
        <v>146</v>
      </c>
      <c r="F56" s="226" t="s">
        <v>143</v>
      </c>
      <c r="G56" s="226" t="s">
        <v>337</v>
      </c>
      <c r="H56" s="226" t="s">
        <v>149</v>
      </c>
      <c r="I56" s="230" t="s">
        <v>731</v>
      </c>
      <c r="J56" s="387"/>
      <c r="K56" s="383"/>
      <c r="L56" s="688">
        <v>3097</v>
      </c>
      <c r="M56" s="689">
        <v>4098.8999999999996</v>
      </c>
      <c r="N56" s="689">
        <v>2845.7</v>
      </c>
      <c r="O56" s="25">
        <f t="shared" si="34"/>
        <v>3969.1</v>
      </c>
      <c r="P56" s="684">
        <v>3969.1</v>
      </c>
      <c r="Q56" s="684"/>
      <c r="R56" s="25">
        <f t="shared" si="35"/>
        <v>3969.1</v>
      </c>
      <c r="S56" s="684">
        <v>3969.1</v>
      </c>
      <c r="T56" s="684"/>
      <c r="U56" s="684">
        <f t="shared" si="36"/>
        <v>3969.1</v>
      </c>
      <c r="V56" s="684">
        <v>3969.1</v>
      </c>
      <c r="W56" s="684"/>
    </row>
    <row r="57" spans="1:23">
      <c r="A57" s="235" t="s">
        <v>163</v>
      </c>
      <c r="B57" s="229"/>
      <c r="C57" s="387"/>
      <c r="D57" s="383"/>
      <c r="E57" s="229"/>
      <c r="F57" s="229"/>
      <c r="G57" s="229"/>
      <c r="H57" s="250"/>
      <c r="I57" s="398"/>
      <c r="J57" s="387"/>
      <c r="K57" s="383"/>
      <c r="L57" s="22">
        <f>SUM(L58:L59)</f>
        <v>21335.5</v>
      </c>
      <c r="M57" s="22">
        <f>SUM(M58:M59)</f>
        <v>26228.7</v>
      </c>
      <c r="N57" s="22">
        <f>SUM(N58:N59)</f>
        <v>17485.8</v>
      </c>
      <c r="O57" s="22">
        <f t="shared" ref="O57:W57" si="37">SUM(O58:O59)</f>
        <v>37243.800000000003</v>
      </c>
      <c r="P57" s="22">
        <f t="shared" si="37"/>
        <v>37243.800000000003</v>
      </c>
      <c r="Q57" s="22">
        <f t="shared" si="37"/>
        <v>0</v>
      </c>
      <c r="R57" s="22">
        <f t="shared" si="37"/>
        <v>37243.800000000003</v>
      </c>
      <c r="S57" s="22">
        <f t="shared" si="37"/>
        <v>37243.800000000003</v>
      </c>
      <c r="T57" s="22">
        <f t="shared" si="37"/>
        <v>0</v>
      </c>
      <c r="U57" s="22">
        <f t="shared" si="37"/>
        <v>37243.800000000003</v>
      </c>
      <c r="V57" s="22">
        <f t="shared" si="37"/>
        <v>37243.800000000003</v>
      </c>
      <c r="W57" s="22">
        <f t="shared" si="37"/>
        <v>0</v>
      </c>
    </row>
    <row r="58" spans="1:23" ht="131.25">
      <c r="A58" s="733" t="s">
        <v>155</v>
      </c>
      <c r="B58" s="229" t="s">
        <v>339</v>
      </c>
      <c r="C58" s="372"/>
      <c r="D58" s="226" t="s">
        <v>418</v>
      </c>
      <c r="E58" s="238" t="s">
        <v>146</v>
      </c>
      <c r="F58" s="238" t="s">
        <v>143</v>
      </c>
      <c r="G58" s="226" t="s">
        <v>229</v>
      </c>
      <c r="H58" s="250">
        <v>631</v>
      </c>
      <c r="I58" s="734" t="s">
        <v>340</v>
      </c>
      <c r="J58" s="735"/>
      <c r="K58" s="387"/>
      <c r="L58" s="688">
        <v>21335.5</v>
      </c>
      <c r="M58" s="688"/>
      <c r="N58" s="688"/>
      <c r="O58" s="25">
        <f t="shared" ref="O58:O59" si="38">P58+Q58</f>
        <v>0</v>
      </c>
      <c r="P58" s="684"/>
      <c r="Q58" s="684"/>
      <c r="R58" s="25">
        <f t="shared" ref="R58:R59" si="39">S58+T58</f>
        <v>0</v>
      </c>
      <c r="S58" s="684"/>
      <c r="T58" s="684"/>
      <c r="U58" s="684">
        <f>V58+W58</f>
        <v>0</v>
      </c>
      <c r="V58" s="684"/>
      <c r="W58" s="684"/>
    </row>
    <row r="59" spans="1:23" ht="131.25">
      <c r="A59" s="384" t="s">
        <v>172</v>
      </c>
      <c r="B59" s="229" t="s">
        <v>339</v>
      </c>
      <c r="C59" s="372"/>
      <c r="D59" s="226" t="s">
        <v>418</v>
      </c>
      <c r="E59" s="238" t="s">
        <v>146</v>
      </c>
      <c r="F59" s="238" t="s">
        <v>143</v>
      </c>
      <c r="G59" s="226" t="s">
        <v>229</v>
      </c>
      <c r="H59" s="250">
        <v>633</v>
      </c>
      <c r="I59" s="230" t="s">
        <v>340</v>
      </c>
      <c r="J59" s="387"/>
      <c r="K59" s="383"/>
      <c r="L59" s="690"/>
      <c r="M59" s="690">
        <v>26228.7</v>
      </c>
      <c r="N59" s="690">
        <v>17485.8</v>
      </c>
      <c r="O59" s="25">
        <f t="shared" si="38"/>
        <v>37243.800000000003</v>
      </c>
      <c r="P59" s="25">
        <v>37243.800000000003</v>
      </c>
      <c r="Q59" s="25"/>
      <c r="R59" s="25">
        <f t="shared" si="39"/>
        <v>37243.800000000003</v>
      </c>
      <c r="S59" s="25">
        <v>37243.800000000003</v>
      </c>
      <c r="T59" s="25"/>
      <c r="U59" s="684">
        <f>V59+W59</f>
        <v>37243.800000000003</v>
      </c>
      <c r="V59" s="25">
        <v>37243.800000000003</v>
      </c>
      <c r="W59" s="25"/>
    </row>
    <row r="60" spans="1:23">
      <c r="A60" s="234" t="s">
        <v>15</v>
      </c>
      <c r="B60" s="720" t="s">
        <v>16</v>
      </c>
      <c r="C60" s="660"/>
      <c r="D60" s="664"/>
      <c r="E60" s="720"/>
      <c r="F60" s="720"/>
      <c r="G60" s="720"/>
      <c r="H60" s="662">
        <v>300</v>
      </c>
      <c r="I60" s="736"/>
      <c r="J60" s="660"/>
      <c r="K60" s="664"/>
      <c r="L60" s="691">
        <f t="shared" ref="L60:W60" si="40">SUM(L61,L63,)</f>
        <v>33891.5</v>
      </c>
      <c r="M60" s="691">
        <f t="shared" si="40"/>
        <v>27214.799999999999</v>
      </c>
      <c r="N60" s="691">
        <f t="shared" si="40"/>
        <v>21362.2</v>
      </c>
      <c r="O60" s="691">
        <f t="shared" si="40"/>
        <v>33933.5</v>
      </c>
      <c r="P60" s="691">
        <f t="shared" si="40"/>
        <v>33933.5</v>
      </c>
      <c r="Q60" s="691">
        <f t="shared" si="40"/>
        <v>0</v>
      </c>
      <c r="R60" s="691">
        <f t="shared" si="40"/>
        <v>33933.5</v>
      </c>
      <c r="S60" s="691">
        <f t="shared" si="40"/>
        <v>33933.5</v>
      </c>
      <c r="T60" s="691">
        <f t="shared" si="40"/>
        <v>0</v>
      </c>
      <c r="U60" s="691">
        <f t="shared" si="40"/>
        <v>33933.5</v>
      </c>
      <c r="V60" s="691">
        <f t="shared" si="40"/>
        <v>33933.5</v>
      </c>
      <c r="W60" s="691">
        <f t="shared" si="40"/>
        <v>0</v>
      </c>
    </row>
    <row r="61" spans="1:23" ht="37.5">
      <c r="A61" s="235" t="s">
        <v>17</v>
      </c>
      <c r="B61" s="205" t="s">
        <v>41</v>
      </c>
      <c r="C61" s="31"/>
      <c r="D61" s="32"/>
      <c r="E61" s="205"/>
      <c r="F61" s="205"/>
      <c r="G61" s="205"/>
      <c r="H61" s="257">
        <v>310</v>
      </c>
      <c r="I61" s="398"/>
      <c r="J61" s="31"/>
      <c r="K61" s="32"/>
      <c r="L61" s="692">
        <f t="shared" ref="L61:W61" si="41">SUM(L62:L62)</f>
        <v>33356.400000000001</v>
      </c>
      <c r="M61" s="692">
        <f t="shared" si="41"/>
        <v>0</v>
      </c>
      <c r="N61" s="692">
        <f t="shared" si="41"/>
        <v>0</v>
      </c>
      <c r="O61" s="22">
        <f t="shared" si="41"/>
        <v>0</v>
      </c>
      <c r="P61" s="22">
        <f t="shared" si="41"/>
        <v>0</v>
      </c>
      <c r="Q61" s="22">
        <f t="shared" si="41"/>
        <v>0</v>
      </c>
      <c r="R61" s="22">
        <f t="shared" si="41"/>
        <v>0</v>
      </c>
      <c r="S61" s="22">
        <f t="shared" si="41"/>
        <v>0</v>
      </c>
      <c r="T61" s="22">
        <f t="shared" si="41"/>
        <v>0</v>
      </c>
      <c r="U61" s="22">
        <f t="shared" si="41"/>
        <v>0</v>
      </c>
      <c r="V61" s="22">
        <f t="shared" si="41"/>
        <v>0</v>
      </c>
      <c r="W61" s="22">
        <f t="shared" si="41"/>
        <v>0</v>
      </c>
    </row>
    <row r="62" spans="1:23" ht="187.5">
      <c r="A62" s="737" t="s">
        <v>10</v>
      </c>
      <c r="B62" s="616" t="s">
        <v>215</v>
      </c>
      <c r="C62" s="738"/>
      <c r="D62" s="739"/>
      <c r="E62" s="740" t="s">
        <v>80</v>
      </c>
      <c r="F62" s="740" t="s">
        <v>93</v>
      </c>
      <c r="G62" s="740" t="s">
        <v>189</v>
      </c>
      <c r="H62" s="213">
        <v>313</v>
      </c>
      <c r="I62" s="734" t="s">
        <v>333</v>
      </c>
      <c r="J62" s="741"/>
      <c r="K62" s="739"/>
      <c r="L62" s="693">
        <v>33356.400000000001</v>
      </c>
      <c r="M62" s="693"/>
      <c r="N62" s="693"/>
      <c r="O62" s="694"/>
      <c r="P62" s="694"/>
      <c r="Q62" s="694"/>
      <c r="R62" s="694"/>
      <c r="S62" s="694"/>
      <c r="T62" s="694"/>
      <c r="U62" s="694"/>
      <c r="V62" s="694"/>
      <c r="W62" s="694"/>
    </row>
    <row r="63" spans="1:23" ht="56.25">
      <c r="A63" s="235" t="s">
        <v>18</v>
      </c>
      <c r="B63" s="205" t="s">
        <v>47</v>
      </c>
      <c r="C63" s="31"/>
      <c r="D63" s="32"/>
      <c r="E63" s="205"/>
      <c r="F63" s="205"/>
      <c r="G63" s="205"/>
      <c r="H63" s="257">
        <v>320</v>
      </c>
      <c r="I63" s="398"/>
      <c r="J63" s="31"/>
      <c r="K63" s="32"/>
      <c r="L63" s="692">
        <f t="shared" ref="L63:W63" si="42">SUM(L64:L65)</f>
        <v>535.1</v>
      </c>
      <c r="M63" s="692">
        <f t="shared" si="42"/>
        <v>27214.799999999999</v>
      </c>
      <c r="N63" s="692">
        <f t="shared" si="42"/>
        <v>21362.2</v>
      </c>
      <c r="O63" s="22">
        <f t="shared" si="42"/>
        <v>33933.5</v>
      </c>
      <c r="P63" s="22">
        <f t="shared" si="42"/>
        <v>33933.5</v>
      </c>
      <c r="Q63" s="22">
        <f t="shared" si="42"/>
        <v>0</v>
      </c>
      <c r="R63" s="22">
        <f t="shared" si="42"/>
        <v>33933.5</v>
      </c>
      <c r="S63" s="22">
        <f t="shared" si="42"/>
        <v>33933.5</v>
      </c>
      <c r="T63" s="22">
        <f t="shared" si="42"/>
        <v>0</v>
      </c>
      <c r="U63" s="22">
        <f t="shared" si="42"/>
        <v>33933.5</v>
      </c>
      <c r="V63" s="22">
        <f t="shared" si="42"/>
        <v>33933.5</v>
      </c>
      <c r="W63" s="22">
        <f t="shared" si="42"/>
        <v>0</v>
      </c>
    </row>
    <row r="64" spans="1:23" ht="131.25">
      <c r="A64" s="737" t="s">
        <v>12</v>
      </c>
      <c r="B64" s="616" t="s">
        <v>215</v>
      </c>
      <c r="C64" s="738"/>
      <c r="D64" s="739"/>
      <c r="E64" s="740" t="s">
        <v>80</v>
      </c>
      <c r="F64" s="740" t="s">
        <v>93</v>
      </c>
      <c r="G64" s="740" t="s">
        <v>189</v>
      </c>
      <c r="H64" s="213">
        <v>321</v>
      </c>
      <c r="I64" s="462" t="s">
        <v>333</v>
      </c>
      <c r="J64" s="738"/>
      <c r="K64" s="739"/>
      <c r="L64" s="695"/>
      <c r="M64" s="695">
        <v>26214.799999999999</v>
      </c>
      <c r="N64" s="695">
        <v>21040</v>
      </c>
      <c r="O64" s="203">
        <f t="shared" ref="O64:O65" si="43">P64+Q64</f>
        <v>31846.3</v>
      </c>
      <c r="P64" s="696">
        <v>31846.3</v>
      </c>
      <c r="Q64" s="696"/>
      <c r="R64" s="203">
        <f t="shared" ref="R64:R65" si="44">S64+T64</f>
        <v>31846.3</v>
      </c>
      <c r="S64" s="696">
        <v>31846.3</v>
      </c>
      <c r="T64" s="696"/>
      <c r="U64" s="694">
        <f t="shared" ref="U64:U65" si="45">V64+W64</f>
        <v>31846.3</v>
      </c>
      <c r="V64" s="696">
        <v>31846.3</v>
      </c>
      <c r="W64" s="696"/>
    </row>
    <row r="65" spans="1:23" ht="375">
      <c r="A65" s="269" t="s">
        <v>13</v>
      </c>
      <c r="B65" s="616" t="s">
        <v>341</v>
      </c>
      <c r="C65" s="742" t="s">
        <v>327</v>
      </c>
      <c r="D65" s="740" t="s">
        <v>406</v>
      </c>
      <c r="E65" s="740" t="s">
        <v>146</v>
      </c>
      <c r="F65" s="740" t="s">
        <v>146</v>
      </c>
      <c r="G65" s="740" t="s">
        <v>190</v>
      </c>
      <c r="H65" s="213">
        <v>321</v>
      </c>
      <c r="I65" s="743"/>
      <c r="J65" s="738"/>
      <c r="K65" s="739"/>
      <c r="L65" s="695">
        <v>535.1</v>
      </c>
      <c r="M65" s="695">
        <v>1000</v>
      </c>
      <c r="N65" s="695">
        <v>322.2</v>
      </c>
      <c r="O65" s="203">
        <f t="shared" si="43"/>
        <v>2087.1999999999998</v>
      </c>
      <c r="P65" s="696">
        <v>2087.1999999999998</v>
      </c>
      <c r="Q65" s="696"/>
      <c r="R65" s="203">
        <f t="shared" si="44"/>
        <v>2087.1999999999998</v>
      </c>
      <c r="S65" s="696">
        <v>2087.1999999999998</v>
      </c>
      <c r="T65" s="696"/>
      <c r="U65" s="694">
        <f t="shared" si="45"/>
        <v>2087.1999999999998</v>
      </c>
      <c r="V65" s="696">
        <v>2087.1999999999998</v>
      </c>
      <c r="W65" s="696"/>
    </row>
    <row r="66" spans="1:23" ht="112.5">
      <c r="A66" s="234" t="s">
        <v>19</v>
      </c>
      <c r="B66" s="206" t="s">
        <v>211</v>
      </c>
      <c r="C66" s="206"/>
      <c r="D66" s="206"/>
      <c r="E66" s="206"/>
      <c r="F66" s="206"/>
      <c r="G66" s="206"/>
      <c r="H66" s="668"/>
      <c r="I66" s="667"/>
      <c r="J66" s="206"/>
      <c r="K66" s="206"/>
      <c r="L66" s="697">
        <f t="shared" ref="L66:W66" si="46">SUM(L67:L67)</f>
        <v>859.7</v>
      </c>
      <c r="M66" s="697">
        <f t="shared" si="46"/>
        <v>2500</v>
      </c>
      <c r="N66" s="697">
        <f t="shared" si="46"/>
        <v>0</v>
      </c>
      <c r="O66" s="698">
        <f t="shared" si="46"/>
        <v>2087.1</v>
      </c>
      <c r="P66" s="698">
        <f t="shared" si="46"/>
        <v>2087.1</v>
      </c>
      <c r="Q66" s="698">
        <f t="shared" si="46"/>
        <v>0</v>
      </c>
      <c r="R66" s="698">
        <f t="shared" si="46"/>
        <v>2087.1</v>
      </c>
      <c r="S66" s="698">
        <f t="shared" si="46"/>
        <v>2087.1</v>
      </c>
      <c r="T66" s="698">
        <f t="shared" si="46"/>
        <v>0</v>
      </c>
      <c r="U66" s="698">
        <f t="shared" si="46"/>
        <v>2087.1</v>
      </c>
      <c r="V66" s="698">
        <f t="shared" si="46"/>
        <v>2087.1</v>
      </c>
      <c r="W66" s="698">
        <f t="shared" si="46"/>
        <v>0</v>
      </c>
    </row>
    <row r="67" spans="1:23" ht="187.5">
      <c r="A67" s="254" t="s">
        <v>17</v>
      </c>
      <c r="B67" s="266" t="s">
        <v>216</v>
      </c>
      <c r="C67" s="744"/>
      <c r="D67" s="643" t="s">
        <v>406</v>
      </c>
      <c r="E67" s="654" t="s">
        <v>146</v>
      </c>
      <c r="F67" s="654" t="s">
        <v>146</v>
      </c>
      <c r="G67" s="654" t="s">
        <v>190</v>
      </c>
      <c r="H67" s="40">
        <v>811</v>
      </c>
      <c r="I67" s="230" t="s">
        <v>332</v>
      </c>
      <c r="J67" s="744"/>
      <c r="K67" s="744"/>
      <c r="L67" s="688">
        <v>859.7</v>
      </c>
      <c r="M67" s="688">
        <v>2500</v>
      </c>
      <c r="N67" s="688">
        <v>0</v>
      </c>
      <c r="O67" s="684">
        <f>P67+Q67</f>
        <v>2087.1</v>
      </c>
      <c r="P67" s="684">
        <v>2087.1</v>
      </c>
      <c r="Q67" s="684"/>
      <c r="R67" s="684">
        <f>S67+T67</f>
        <v>2087.1</v>
      </c>
      <c r="S67" s="684">
        <v>2087.1</v>
      </c>
      <c r="T67" s="684"/>
      <c r="U67" s="684">
        <f>V67+W67</f>
        <v>2087.1</v>
      </c>
      <c r="V67" s="684">
        <v>2087.1</v>
      </c>
      <c r="W67" s="684"/>
    </row>
    <row r="68" spans="1:23" ht="56.25">
      <c r="A68" s="8" t="s">
        <v>167</v>
      </c>
      <c r="B68" s="180" t="s">
        <v>342</v>
      </c>
      <c r="C68" s="8"/>
      <c r="D68" s="8"/>
      <c r="E68" s="8"/>
      <c r="F68" s="8"/>
      <c r="G68" s="8"/>
      <c r="H68" s="644"/>
      <c r="I68" s="629"/>
      <c r="J68" s="8"/>
      <c r="K68" s="8" t="s">
        <v>62</v>
      </c>
      <c r="L68" s="10">
        <f>SUM(L69,L73,)</f>
        <v>30164.1</v>
      </c>
      <c r="M68" s="10">
        <f t="shared" ref="M68:W68" si="47">SUM(M69,M73,)</f>
        <v>64954.299999999996</v>
      </c>
      <c r="N68" s="10">
        <f t="shared" si="47"/>
        <v>18723.400000000001</v>
      </c>
      <c r="O68" s="10">
        <f t="shared" si="47"/>
        <v>50611.100000000006</v>
      </c>
      <c r="P68" s="10">
        <f t="shared" si="47"/>
        <v>50611.100000000006</v>
      </c>
      <c r="Q68" s="10">
        <f t="shared" si="47"/>
        <v>0</v>
      </c>
      <c r="R68" s="10">
        <f t="shared" si="47"/>
        <v>47968.7</v>
      </c>
      <c r="S68" s="10">
        <f t="shared" si="47"/>
        <v>47968.7</v>
      </c>
      <c r="T68" s="10">
        <f t="shared" si="47"/>
        <v>0</v>
      </c>
      <c r="U68" s="10">
        <f t="shared" si="47"/>
        <v>50445.100000000006</v>
      </c>
      <c r="V68" s="10">
        <f t="shared" si="47"/>
        <v>50445.100000000006</v>
      </c>
      <c r="W68" s="10">
        <f t="shared" si="47"/>
        <v>0</v>
      </c>
    </row>
    <row r="69" spans="1:23">
      <c r="A69" s="234" t="s">
        <v>9</v>
      </c>
      <c r="B69" s="421" t="s">
        <v>67</v>
      </c>
      <c r="C69" s="421"/>
      <c r="D69" s="421"/>
      <c r="E69" s="421"/>
      <c r="F69" s="421"/>
      <c r="G69" s="421"/>
      <c r="H69" s="421"/>
      <c r="I69" s="421"/>
      <c r="J69" s="421"/>
      <c r="K69" s="421"/>
      <c r="L69" s="680">
        <f>SUM(L70,)</f>
        <v>5551.8</v>
      </c>
      <c r="M69" s="680">
        <f t="shared" ref="M69:W69" si="48">SUM(M70,)</f>
        <v>6306.6</v>
      </c>
      <c r="N69" s="680">
        <f t="shared" si="48"/>
        <v>4148.8999999999996</v>
      </c>
      <c r="O69" s="680">
        <f t="shared" si="48"/>
        <v>6280.5</v>
      </c>
      <c r="P69" s="680">
        <f t="shared" si="48"/>
        <v>6280.5</v>
      </c>
      <c r="Q69" s="680">
        <f t="shared" si="48"/>
        <v>0</v>
      </c>
      <c r="R69" s="680">
        <f t="shared" si="48"/>
        <v>5996</v>
      </c>
      <c r="S69" s="680">
        <f t="shared" si="48"/>
        <v>5996</v>
      </c>
      <c r="T69" s="680">
        <f t="shared" si="48"/>
        <v>0</v>
      </c>
      <c r="U69" s="680">
        <f t="shared" si="48"/>
        <v>5996</v>
      </c>
      <c r="V69" s="680">
        <f t="shared" si="48"/>
        <v>5996</v>
      </c>
      <c r="W69" s="680">
        <f t="shared" si="48"/>
        <v>0</v>
      </c>
    </row>
    <row r="70" spans="1:23">
      <c r="A70" s="235" t="s">
        <v>57</v>
      </c>
      <c r="B70" s="229"/>
      <c r="C70" s="387"/>
      <c r="D70" s="383"/>
      <c r="E70" s="229"/>
      <c r="F70" s="229"/>
      <c r="G70" s="229"/>
      <c r="H70" s="250"/>
      <c r="I70" s="398"/>
      <c r="J70" s="387"/>
      <c r="K70" s="383"/>
      <c r="L70" s="22">
        <f t="shared" ref="L70:W70" si="49">SUM(L71:L72)</f>
        <v>5551.8</v>
      </c>
      <c r="M70" s="22">
        <f t="shared" si="49"/>
        <v>6306.6</v>
      </c>
      <c r="N70" s="22">
        <f t="shared" si="49"/>
        <v>4148.8999999999996</v>
      </c>
      <c r="O70" s="22">
        <f t="shared" si="49"/>
        <v>6280.5</v>
      </c>
      <c r="P70" s="22">
        <f t="shared" si="49"/>
        <v>6280.5</v>
      </c>
      <c r="Q70" s="22">
        <f t="shared" si="49"/>
        <v>0</v>
      </c>
      <c r="R70" s="22">
        <f t="shared" si="49"/>
        <v>5996</v>
      </c>
      <c r="S70" s="22">
        <f t="shared" si="49"/>
        <v>5996</v>
      </c>
      <c r="T70" s="22">
        <f t="shared" si="49"/>
        <v>0</v>
      </c>
      <c r="U70" s="22">
        <f t="shared" si="49"/>
        <v>5996</v>
      </c>
      <c r="V70" s="22">
        <f t="shared" si="49"/>
        <v>5996</v>
      </c>
      <c r="W70" s="22">
        <f t="shared" si="49"/>
        <v>0</v>
      </c>
    </row>
    <row r="71" spans="1:23" ht="300">
      <c r="A71" s="225" t="s">
        <v>497</v>
      </c>
      <c r="B71" s="229" t="s">
        <v>68</v>
      </c>
      <c r="C71" s="218"/>
      <c r="D71" s="226" t="s">
        <v>1380</v>
      </c>
      <c r="E71" s="238" t="s">
        <v>93</v>
      </c>
      <c r="F71" s="238" t="s">
        <v>98</v>
      </c>
      <c r="G71" s="238" t="s">
        <v>734</v>
      </c>
      <c r="H71" s="226">
        <v>100</v>
      </c>
      <c r="I71" s="230" t="s">
        <v>1066</v>
      </c>
      <c r="J71" s="226" t="s">
        <v>1067</v>
      </c>
      <c r="K71" s="218"/>
      <c r="L71" s="25">
        <v>5011.2</v>
      </c>
      <c r="M71" s="25">
        <v>5747</v>
      </c>
      <c r="N71" s="25">
        <v>3802.2</v>
      </c>
      <c r="O71" s="25">
        <f>SUM(P71:Q71)</f>
        <v>5424.9</v>
      </c>
      <c r="P71" s="25">
        <v>5424.9</v>
      </c>
      <c r="Q71" s="25"/>
      <c r="R71" s="25">
        <f>SUM(S71:T71)</f>
        <v>5424.9</v>
      </c>
      <c r="S71" s="25">
        <v>5424.9</v>
      </c>
      <c r="T71" s="25"/>
      <c r="U71" s="25">
        <f t="shared" ref="U71:U72" si="50">SUM(V71:W71)</f>
        <v>5424.9</v>
      </c>
      <c r="V71" s="25">
        <v>5424.9</v>
      </c>
      <c r="W71" s="25"/>
    </row>
    <row r="72" spans="1:23" ht="300">
      <c r="A72" s="225" t="s">
        <v>306</v>
      </c>
      <c r="B72" s="229" t="s">
        <v>69</v>
      </c>
      <c r="C72" s="374"/>
      <c r="D72" s="226" t="s">
        <v>399</v>
      </c>
      <c r="E72" s="238" t="s">
        <v>93</v>
      </c>
      <c r="F72" s="238" t="s">
        <v>98</v>
      </c>
      <c r="G72" s="238" t="s">
        <v>734</v>
      </c>
      <c r="H72" s="226">
        <v>200</v>
      </c>
      <c r="I72" s="230" t="s">
        <v>1066</v>
      </c>
      <c r="J72" s="226" t="s">
        <v>1067</v>
      </c>
      <c r="K72" s="375"/>
      <c r="L72" s="25">
        <v>540.6</v>
      </c>
      <c r="M72" s="25">
        <v>559.6</v>
      </c>
      <c r="N72" s="25">
        <v>346.7</v>
      </c>
      <c r="O72" s="25">
        <f t="shared" ref="O72" si="51">SUM(P72:Q72)</f>
        <v>855.6</v>
      </c>
      <c r="P72" s="25">
        <v>855.6</v>
      </c>
      <c r="Q72" s="25"/>
      <c r="R72" s="25">
        <f t="shared" ref="R72" si="52">SUM(S72:T72)</f>
        <v>571.1</v>
      </c>
      <c r="S72" s="25">
        <v>571.1</v>
      </c>
      <c r="T72" s="25"/>
      <c r="U72" s="25">
        <f t="shared" si="50"/>
        <v>571.1</v>
      </c>
      <c r="V72" s="25">
        <v>571.1</v>
      </c>
      <c r="W72" s="25"/>
    </row>
    <row r="73" spans="1:23">
      <c r="A73" s="234" t="s">
        <v>19</v>
      </c>
      <c r="B73" s="421" t="s">
        <v>211</v>
      </c>
      <c r="C73" s="421"/>
      <c r="D73" s="421"/>
      <c r="E73" s="421"/>
      <c r="F73" s="421"/>
      <c r="G73" s="421"/>
      <c r="H73" s="421"/>
      <c r="I73" s="421"/>
      <c r="J73" s="421"/>
      <c r="K73" s="421"/>
      <c r="L73" s="698">
        <f t="shared" ref="L73:W73" si="53">SUM(L74:L86)</f>
        <v>24612.3</v>
      </c>
      <c r="M73" s="698">
        <f t="shared" si="53"/>
        <v>58647.7</v>
      </c>
      <c r="N73" s="698">
        <f t="shared" si="53"/>
        <v>14574.5</v>
      </c>
      <c r="O73" s="698">
        <f t="shared" si="53"/>
        <v>44330.600000000006</v>
      </c>
      <c r="P73" s="698">
        <f t="shared" si="53"/>
        <v>44330.600000000006</v>
      </c>
      <c r="Q73" s="698">
        <f t="shared" si="53"/>
        <v>0</v>
      </c>
      <c r="R73" s="698">
        <f t="shared" si="53"/>
        <v>41972.7</v>
      </c>
      <c r="S73" s="698">
        <f t="shared" si="53"/>
        <v>41972.7</v>
      </c>
      <c r="T73" s="698">
        <f t="shared" si="53"/>
        <v>0</v>
      </c>
      <c r="U73" s="698">
        <f t="shared" si="53"/>
        <v>44449.100000000006</v>
      </c>
      <c r="V73" s="698">
        <f t="shared" si="53"/>
        <v>44449.100000000006</v>
      </c>
      <c r="W73" s="698">
        <f t="shared" si="53"/>
        <v>0</v>
      </c>
    </row>
    <row r="74" spans="1:23" ht="281.25">
      <c r="A74" s="225" t="s">
        <v>17</v>
      </c>
      <c r="B74" s="38" t="s">
        <v>320</v>
      </c>
      <c r="C74" s="393"/>
      <c r="D74" s="73" t="s">
        <v>400</v>
      </c>
      <c r="E74" s="74" t="s">
        <v>93</v>
      </c>
      <c r="F74" s="74" t="s">
        <v>98</v>
      </c>
      <c r="G74" s="74" t="s">
        <v>321</v>
      </c>
      <c r="H74" s="80" t="s">
        <v>977</v>
      </c>
      <c r="I74" s="230" t="s">
        <v>1068</v>
      </c>
      <c r="J74" s="181" t="s">
        <v>1069</v>
      </c>
      <c r="K74" s="393"/>
      <c r="L74" s="25">
        <v>6537</v>
      </c>
      <c r="M74" s="25">
        <v>2217.9</v>
      </c>
      <c r="N74" s="25">
        <v>1100</v>
      </c>
      <c r="O74" s="25">
        <f t="shared" ref="O74:O84" si="54">SUM(P74:Q74)</f>
        <v>4363.8</v>
      </c>
      <c r="P74" s="25">
        <v>4363.8</v>
      </c>
      <c r="Q74" s="25"/>
      <c r="R74" s="25">
        <f>SUM(S74:T74)</f>
        <v>4363.8</v>
      </c>
      <c r="S74" s="25">
        <v>4363.8</v>
      </c>
      <c r="T74" s="25"/>
      <c r="U74" s="25">
        <f t="shared" ref="U74:U84" si="55">SUM(V74:W74)</f>
        <v>4363.8</v>
      </c>
      <c r="V74" s="25">
        <v>4363.8</v>
      </c>
      <c r="W74" s="25"/>
    </row>
    <row r="75" spans="1:23" ht="295.5" customHeight="1">
      <c r="A75" s="225" t="s">
        <v>18</v>
      </c>
      <c r="B75" s="38" t="s">
        <v>735</v>
      </c>
      <c r="C75" s="393"/>
      <c r="D75" s="73" t="s">
        <v>400</v>
      </c>
      <c r="E75" s="74" t="s">
        <v>93</v>
      </c>
      <c r="F75" s="74" t="s">
        <v>98</v>
      </c>
      <c r="G75" s="74" t="s">
        <v>736</v>
      </c>
      <c r="H75" s="80" t="s">
        <v>977</v>
      </c>
      <c r="I75" s="38" t="s">
        <v>1381</v>
      </c>
      <c r="J75" s="181" t="s">
        <v>1382</v>
      </c>
      <c r="K75" s="393"/>
      <c r="L75" s="25">
        <v>332.6</v>
      </c>
      <c r="M75" s="25">
        <v>1087.3</v>
      </c>
      <c r="N75" s="25">
        <v>1087.3</v>
      </c>
      <c r="O75" s="25">
        <f t="shared" si="54"/>
        <v>0</v>
      </c>
      <c r="P75" s="25"/>
      <c r="Q75" s="25"/>
      <c r="R75" s="25">
        <f t="shared" ref="R75:R84" si="56">SUM(S75:T75)</f>
        <v>0</v>
      </c>
      <c r="S75" s="25"/>
      <c r="T75" s="25"/>
      <c r="U75" s="25">
        <f t="shared" si="55"/>
        <v>0</v>
      </c>
      <c r="V75" s="25"/>
      <c r="W75" s="25"/>
    </row>
    <row r="76" spans="1:23" ht="409.5">
      <c r="A76" s="225" t="s">
        <v>177</v>
      </c>
      <c r="B76" s="38" t="s">
        <v>735</v>
      </c>
      <c r="C76" s="393"/>
      <c r="D76" s="73" t="s">
        <v>400</v>
      </c>
      <c r="E76" s="74" t="s">
        <v>93</v>
      </c>
      <c r="F76" s="74" t="s">
        <v>98</v>
      </c>
      <c r="G76" s="74" t="s">
        <v>737</v>
      </c>
      <c r="H76" s="80" t="s">
        <v>977</v>
      </c>
      <c r="I76" s="230" t="s">
        <v>1381</v>
      </c>
      <c r="J76" s="181" t="s">
        <v>1382</v>
      </c>
      <c r="K76" s="393"/>
      <c r="L76" s="25">
        <v>246.7</v>
      </c>
      <c r="M76" s="25"/>
      <c r="N76" s="25"/>
      <c r="O76" s="25">
        <f t="shared" si="54"/>
        <v>724.1</v>
      </c>
      <c r="P76" s="25">
        <v>724.1</v>
      </c>
      <c r="Q76" s="25"/>
      <c r="R76" s="25">
        <f t="shared" si="56"/>
        <v>721.8</v>
      </c>
      <c r="S76" s="25">
        <v>721.8</v>
      </c>
      <c r="T76" s="25"/>
      <c r="U76" s="25">
        <f t="shared" si="55"/>
        <v>721.8</v>
      </c>
      <c r="V76" s="25">
        <v>721.8</v>
      </c>
      <c r="W76" s="25"/>
    </row>
    <row r="77" spans="1:23" ht="300">
      <c r="A77" s="225" t="s">
        <v>22</v>
      </c>
      <c r="B77" s="38" t="s">
        <v>1070</v>
      </c>
      <c r="C77" s="393"/>
      <c r="D77" s="73" t="s">
        <v>400</v>
      </c>
      <c r="E77" s="74" t="s">
        <v>93</v>
      </c>
      <c r="F77" s="74" t="s">
        <v>98</v>
      </c>
      <c r="G77" s="74" t="s">
        <v>387</v>
      </c>
      <c r="H77" s="80" t="s">
        <v>977</v>
      </c>
      <c r="I77" s="230" t="s">
        <v>385</v>
      </c>
      <c r="J77" s="181" t="s">
        <v>386</v>
      </c>
      <c r="K77" s="393"/>
      <c r="L77" s="25">
        <v>1778.7</v>
      </c>
      <c r="M77" s="25">
        <v>1266.9000000000001</v>
      </c>
      <c r="N77" s="25">
        <v>1266.9000000000001</v>
      </c>
      <c r="O77" s="25">
        <f t="shared" si="54"/>
        <v>0</v>
      </c>
      <c r="P77" s="25"/>
      <c r="Q77" s="25"/>
      <c r="R77" s="25">
        <f t="shared" si="56"/>
        <v>0</v>
      </c>
      <c r="S77" s="25"/>
      <c r="T77" s="25"/>
      <c r="U77" s="25">
        <f t="shared" si="55"/>
        <v>0</v>
      </c>
      <c r="V77" s="25"/>
      <c r="W77" s="25"/>
    </row>
    <row r="78" spans="1:23" ht="243.75">
      <c r="A78" s="225" t="s">
        <v>214</v>
      </c>
      <c r="B78" s="38" t="s">
        <v>1383</v>
      </c>
      <c r="C78" s="393"/>
      <c r="D78" s="73" t="s">
        <v>400</v>
      </c>
      <c r="E78" s="74" t="s">
        <v>93</v>
      </c>
      <c r="F78" s="74" t="s">
        <v>98</v>
      </c>
      <c r="G78" s="74" t="s">
        <v>388</v>
      </c>
      <c r="H78" s="80" t="s">
        <v>977</v>
      </c>
      <c r="I78" s="230" t="s">
        <v>1384</v>
      </c>
      <c r="J78" s="181" t="s">
        <v>1075</v>
      </c>
      <c r="K78" s="393"/>
      <c r="L78" s="25">
        <v>4287.5</v>
      </c>
      <c r="M78" s="25">
        <v>6327.1</v>
      </c>
      <c r="N78" s="25">
        <v>2201.8000000000002</v>
      </c>
      <c r="O78" s="25">
        <f>P78</f>
        <v>0</v>
      </c>
      <c r="P78" s="25"/>
      <c r="Q78" s="25"/>
      <c r="R78" s="25">
        <f t="shared" si="56"/>
        <v>0</v>
      </c>
      <c r="S78" s="25"/>
      <c r="T78" s="25"/>
      <c r="U78" s="25">
        <f t="shared" si="55"/>
        <v>0</v>
      </c>
      <c r="V78" s="25"/>
      <c r="W78" s="25"/>
    </row>
    <row r="79" spans="1:23" ht="165.75" customHeight="1">
      <c r="A79" s="225" t="s">
        <v>156</v>
      </c>
      <c r="B79" s="38" t="s">
        <v>1383</v>
      </c>
      <c r="C79" s="393"/>
      <c r="D79" s="73" t="s">
        <v>400</v>
      </c>
      <c r="E79" s="74" t="s">
        <v>93</v>
      </c>
      <c r="F79" s="74" t="s">
        <v>98</v>
      </c>
      <c r="G79" s="74" t="s">
        <v>1385</v>
      </c>
      <c r="H79" s="80" t="s">
        <v>977</v>
      </c>
      <c r="I79" s="230" t="s">
        <v>1384</v>
      </c>
      <c r="J79" s="181" t="s">
        <v>1075</v>
      </c>
      <c r="K79" s="393"/>
      <c r="L79" s="25"/>
      <c r="M79" s="25"/>
      <c r="N79" s="25"/>
      <c r="O79" s="25">
        <f>P79</f>
        <v>5487.3</v>
      </c>
      <c r="P79" s="25">
        <v>5487.3</v>
      </c>
      <c r="Q79" s="25"/>
      <c r="R79" s="25">
        <f t="shared" si="56"/>
        <v>5543</v>
      </c>
      <c r="S79" s="25">
        <v>5543</v>
      </c>
      <c r="T79" s="25"/>
      <c r="U79" s="25">
        <f t="shared" si="55"/>
        <v>5543</v>
      </c>
      <c r="V79" s="25">
        <v>5543</v>
      </c>
      <c r="W79" s="25"/>
    </row>
    <row r="80" spans="1:23" ht="183" customHeight="1">
      <c r="A80" s="225" t="s">
        <v>231</v>
      </c>
      <c r="B80" s="38" t="s">
        <v>1386</v>
      </c>
      <c r="C80" s="393"/>
      <c r="D80" s="73" t="s">
        <v>401</v>
      </c>
      <c r="E80" s="74" t="s">
        <v>93</v>
      </c>
      <c r="F80" s="74" t="s">
        <v>98</v>
      </c>
      <c r="G80" s="74" t="s">
        <v>1387</v>
      </c>
      <c r="H80" s="80" t="s">
        <v>977</v>
      </c>
      <c r="I80" s="230" t="s">
        <v>385</v>
      </c>
      <c r="J80" s="181" t="s">
        <v>386</v>
      </c>
      <c r="K80" s="393"/>
      <c r="L80" s="25">
        <v>842.5</v>
      </c>
      <c r="M80" s="25"/>
      <c r="N80" s="25"/>
      <c r="O80" s="25">
        <f t="shared" si="54"/>
        <v>0</v>
      </c>
      <c r="P80" s="25"/>
      <c r="Q80" s="25"/>
      <c r="R80" s="25">
        <f t="shared" si="56"/>
        <v>0</v>
      </c>
      <c r="S80" s="25"/>
      <c r="T80" s="25"/>
      <c r="U80" s="25">
        <f t="shared" si="55"/>
        <v>0</v>
      </c>
      <c r="V80" s="25"/>
      <c r="W80" s="35"/>
    </row>
    <row r="81" spans="1:23" ht="183" customHeight="1">
      <c r="A81" s="225" t="s">
        <v>232</v>
      </c>
      <c r="B81" s="38" t="s">
        <v>1388</v>
      </c>
      <c r="C81" s="393"/>
      <c r="D81" s="73" t="s">
        <v>401</v>
      </c>
      <c r="E81" s="74" t="s">
        <v>93</v>
      </c>
      <c r="F81" s="74" t="s">
        <v>98</v>
      </c>
      <c r="G81" s="74" t="s">
        <v>1387</v>
      </c>
      <c r="H81" s="80" t="s">
        <v>977</v>
      </c>
      <c r="I81" s="230" t="s">
        <v>385</v>
      </c>
      <c r="J81" s="181" t="s">
        <v>386</v>
      </c>
      <c r="K81" s="393"/>
      <c r="L81" s="25"/>
      <c r="M81" s="25">
        <v>4670.7</v>
      </c>
      <c r="N81" s="25">
        <v>3508.4</v>
      </c>
      <c r="O81" s="25">
        <f t="shared" si="54"/>
        <v>0</v>
      </c>
      <c r="P81" s="25"/>
      <c r="Q81" s="25"/>
      <c r="R81" s="25">
        <f t="shared" si="56"/>
        <v>0</v>
      </c>
      <c r="S81" s="25"/>
      <c r="T81" s="25"/>
      <c r="U81" s="25">
        <f t="shared" si="55"/>
        <v>0</v>
      </c>
      <c r="V81" s="25"/>
      <c r="W81" s="35"/>
    </row>
    <row r="82" spans="1:23" ht="300">
      <c r="A82" s="225" t="s">
        <v>233</v>
      </c>
      <c r="B82" s="38" t="s">
        <v>1388</v>
      </c>
      <c r="C82" s="393"/>
      <c r="D82" s="73" t="s">
        <v>401</v>
      </c>
      <c r="E82" s="74" t="s">
        <v>93</v>
      </c>
      <c r="F82" s="74" t="s">
        <v>98</v>
      </c>
      <c r="G82" s="74" t="s">
        <v>1389</v>
      </c>
      <c r="H82" s="80" t="s">
        <v>977</v>
      </c>
      <c r="I82" s="230" t="s">
        <v>385</v>
      </c>
      <c r="J82" s="181" t="s">
        <v>386</v>
      </c>
      <c r="K82" s="393"/>
      <c r="L82" s="25"/>
      <c r="M82" s="25"/>
      <c r="N82" s="25"/>
      <c r="O82" s="25">
        <f t="shared" si="54"/>
        <v>7517.2</v>
      </c>
      <c r="P82" s="25">
        <v>7517.2</v>
      </c>
      <c r="Q82" s="25"/>
      <c r="R82" s="25">
        <f t="shared" si="56"/>
        <v>8534.2000000000007</v>
      </c>
      <c r="S82" s="25">
        <v>8534.2000000000007</v>
      </c>
      <c r="T82" s="25"/>
      <c r="U82" s="25">
        <f t="shared" si="55"/>
        <v>8534.2000000000007</v>
      </c>
      <c r="V82" s="25">
        <v>8534.2000000000007</v>
      </c>
      <c r="W82" s="35"/>
    </row>
    <row r="83" spans="1:23" ht="262.5">
      <c r="A83" s="225" t="s">
        <v>1390</v>
      </c>
      <c r="B83" s="38" t="s">
        <v>390</v>
      </c>
      <c r="C83" s="393"/>
      <c r="D83" s="73" t="s">
        <v>401</v>
      </c>
      <c r="E83" s="74" t="s">
        <v>93</v>
      </c>
      <c r="F83" s="74" t="s">
        <v>98</v>
      </c>
      <c r="G83" s="74" t="s">
        <v>391</v>
      </c>
      <c r="H83" s="80" t="s">
        <v>977</v>
      </c>
      <c r="I83" s="230" t="s">
        <v>389</v>
      </c>
      <c r="J83" s="181" t="s">
        <v>386</v>
      </c>
      <c r="K83" s="393"/>
      <c r="L83" s="25">
        <v>8656.7999999999993</v>
      </c>
      <c r="M83" s="25">
        <v>2421.8000000000002</v>
      </c>
      <c r="N83" s="25">
        <v>2406.4</v>
      </c>
      <c r="O83" s="25">
        <f t="shared" si="54"/>
        <v>0</v>
      </c>
      <c r="P83" s="25"/>
      <c r="Q83" s="25"/>
      <c r="R83" s="25">
        <f t="shared" si="56"/>
        <v>0</v>
      </c>
      <c r="S83" s="25"/>
      <c r="T83" s="25"/>
      <c r="U83" s="25">
        <f t="shared" si="55"/>
        <v>0</v>
      </c>
      <c r="V83" s="25"/>
      <c r="W83" s="35"/>
    </row>
    <row r="84" spans="1:23" ht="262.5">
      <c r="A84" s="225" t="s">
        <v>1391</v>
      </c>
      <c r="B84" s="38" t="s">
        <v>1392</v>
      </c>
      <c r="C84" s="393"/>
      <c r="D84" s="73" t="s">
        <v>401</v>
      </c>
      <c r="E84" s="74" t="s">
        <v>93</v>
      </c>
      <c r="F84" s="74" t="s">
        <v>98</v>
      </c>
      <c r="G84" s="74" t="s">
        <v>1393</v>
      </c>
      <c r="H84" s="80" t="s">
        <v>977</v>
      </c>
      <c r="I84" s="230" t="s">
        <v>389</v>
      </c>
      <c r="J84" s="181" t="s">
        <v>386</v>
      </c>
      <c r="K84" s="393"/>
      <c r="L84" s="25"/>
      <c r="M84" s="25"/>
      <c r="N84" s="25"/>
      <c r="O84" s="25">
        <f t="shared" si="54"/>
        <v>1656</v>
      </c>
      <c r="P84" s="25">
        <v>1656</v>
      </c>
      <c r="Q84" s="25"/>
      <c r="R84" s="25">
        <f t="shared" si="56"/>
        <v>1882.6</v>
      </c>
      <c r="S84" s="25">
        <v>1882.6</v>
      </c>
      <c r="T84" s="25"/>
      <c r="U84" s="25">
        <f t="shared" si="55"/>
        <v>1882.6</v>
      </c>
      <c r="V84" s="25">
        <v>1882.6</v>
      </c>
      <c r="W84" s="35"/>
    </row>
    <row r="85" spans="1:23" ht="409.5">
      <c r="A85" s="225" t="s">
        <v>1394</v>
      </c>
      <c r="B85" s="38" t="s">
        <v>1395</v>
      </c>
      <c r="C85" s="393"/>
      <c r="D85" s="73" t="s">
        <v>400</v>
      </c>
      <c r="E85" s="74" t="s">
        <v>93</v>
      </c>
      <c r="F85" s="74" t="s">
        <v>98</v>
      </c>
      <c r="G85" s="74" t="s">
        <v>1396</v>
      </c>
      <c r="H85" s="80" t="s">
        <v>977</v>
      </c>
      <c r="I85" s="230" t="s">
        <v>1071</v>
      </c>
      <c r="J85" s="181" t="s">
        <v>1072</v>
      </c>
      <c r="K85" s="393"/>
      <c r="L85" s="25">
        <v>1930.5</v>
      </c>
      <c r="M85" s="25"/>
      <c r="N85" s="25"/>
      <c r="O85" s="25">
        <f>SUM(P85:Q85)</f>
        <v>0</v>
      </c>
      <c r="P85" s="25"/>
      <c r="Q85" s="25"/>
      <c r="R85" s="25">
        <f>SUM(S85:T85)</f>
        <v>0</v>
      </c>
      <c r="S85" s="25"/>
      <c r="T85" s="25"/>
      <c r="U85" s="25">
        <f>SUM(V85:W85)</f>
        <v>0</v>
      </c>
      <c r="V85" s="25"/>
      <c r="W85" s="35"/>
    </row>
    <row r="86" spans="1:23" ht="243.75">
      <c r="A86" s="225" t="s">
        <v>1397</v>
      </c>
      <c r="B86" s="38" t="s">
        <v>1073</v>
      </c>
      <c r="C86" s="393"/>
      <c r="D86" s="73" t="s">
        <v>400</v>
      </c>
      <c r="E86" s="74" t="s">
        <v>93</v>
      </c>
      <c r="F86" s="74" t="s">
        <v>98</v>
      </c>
      <c r="G86" s="74" t="s">
        <v>1074</v>
      </c>
      <c r="H86" s="80" t="s">
        <v>977</v>
      </c>
      <c r="I86" s="230" t="s">
        <v>1384</v>
      </c>
      <c r="J86" s="181" t="s">
        <v>1075</v>
      </c>
      <c r="K86" s="393"/>
      <c r="L86" s="25"/>
      <c r="M86" s="25">
        <v>40656</v>
      </c>
      <c r="N86" s="25">
        <v>3003.7</v>
      </c>
      <c r="O86" s="25">
        <f>SUM(P86:Q86)</f>
        <v>24582.2</v>
      </c>
      <c r="P86" s="25">
        <v>24582.2</v>
      </c>
      <c r="Q86" s="25"/>
      <c r="R86" s="25">
        <f>SUM(S86:T86)</f>
        <v>20927.3</v>
      </c>
      <c r="S86" s="25">
        <v>20927.3</v>
      </c>
      <c r="T86" s="25"/>
      <c r="U86" s="25">
        <f>SUM(V86:W86)</f>
        <v>23403.7</v>
      </c>
      <c r="V86" s="25">
        <v>23403.7</v>
      </c>
      <c r="W86" s="35"/>
    </row>
    <row r="87" spans="1:23" ht="56.25">
      <c r="A87" s="7" t="s">
        <v>168</v>
      </c>
      <c r="B87" s="6" t="s">
        <v>169</v>
      </c>
      <c r="C87" s="8"/>
      <c r="D87" s="8"/>
      <c r="E87" s="8"/>
      <c r="F87" s="8"/>
      <c r="G87" s="8"/>
      <c r="H87" s="644"/>
      <c r="I87" s="629"/>
      <c r="J87" s="8"/>
      <c r="K87" s="8" t="s">
        <v>62</v>
      </c>
      <c r="L87" s="10">
        <f t="shared" ref="L87:W87" si="57">SUM(L88,L99,)</f>
        <v>6504.2999999999993</v>
      </c>
      <c r="M87" s="10">
        <f t="shared" si="57"/>
        <v>11218.7</v>
      </c>
      <c r="N87" s="10">
        <f t="shared" si="57"/>
        <v>10203</v>
      </c>
      <c r="O87" s="10">
        <f t="shared" si="57"/>
        <v>5545.1</v>
      </c>
      <c r="P87" s="10">
        <f t="shared" si="57"/>
        <v>5545.1</v>
      </c>
      <c r="Q87" s="10">
        <f t="shared" si="57"/>
        <v>0</v>
      </c>
      <c r="R87" s="10">
        <f t="shared" si="57"/>
        <v>5645.2000000000007</v>
      </c>
      <c r="S87" s="10">
        <f t="shared" si="57"/>
        <v>5645.2000000000007</v>
      </c>
      <c r="T87" s="10">
        <f t="shared" si="57"/>
        <v>0</v>
      </c>
      <c r="U87" s="10">
        <f t="shared" si="57"/>
        <v>8382.1</v>
      </c>
      <c r="V87" s="10">
        <f t="shared" si="57"/>
        <v>8382.1</v>
      </c>
      <c r="W87" s="10">
        <f t="shared" si="57"/>
        <v>0</v>
      </c>
    </row>
    <row r="88" spans="1:23">
      <c r="A88" s="234" t="s">
        <v>9</v>
      </c>
      <c r="B88" s="421" t="s">
        <v>67</v>
      </c>
      <c r="C88" s="421"/>
      <c r="D88" s="421"/>
      <c r="E88" s="421"/>
      <c r="F88" s="421"/>
      <c r="G88" s="421"/>
      <c r="H88" s="421"/>
      <c r="I88" s="421"/>
      <c r="J88" s="421"/>
      <c r="K88" s="421"/>
      <c r="L88" s="680">
        <f>SUM(L89,L96,)</f>
        <v>3305.6</v>
      </c>
      <c r="M88" s="680">
        <f t="shared" ref="M88:W88" si="58">SUM(M89,M96,)</f>
        <v>3135.7</v>
      </c>
      <c r="N88" s="680">
        <f t="shared" si="58"/>
        <v>2120</v>
      </c>
      <c r="O88" s="680">
        <f t="shared" si="58"/>
        <v>3357.9</v>
      </c>
      <c r="P88" s="680">
        <f t="shared" si="58"/>
        <v>3357.9</v>
      </c>
      <c r="Q88" s="680">
        <f t="shared" si="58"/>
        <v>0</v>
      </c>
      <c r="R88" s="680">
        <f t="shared" si="58"/>
        <v>3359.6000000000004</v>
      </c>
      <c r="S88" s="680">
        <f t="shared" si="58"/>
        <v>3359.6000000000004</v>
      </c>
      <c r="T88" s="680">
        <f t="shared" si="58"/>
        <v>0</v>
      </c>
      <c r="U88" s="680">
        <f t="shared" si="58"/>
        <v>3623.5</v>
      </c>
      <c r="V88" s="680">
        <f t="shared" si="58"/>
        <v>3623.5</v>
      </c>
      <c r="W88" s="680">
        <f t="shared" si="58"/>
        <v>0</v>
      </c>
    </row>
    <row r="89" spans="1:23">
      <c r="A89" s="235" t="s">
        <v>57</v>
      </c>
      <c r="B89" s="229"/>
      <c r="C89" s="387"/>
      <c r="D89" s="383"/>
      <c r="E89" s="229"/>
      <c r="F89" s="229"/>
      <c r="G89" s="229"/>
      <c r="H89" s="250"/>
      <c r="I89" s="398"/>
      <c r="J89" s="387"/>
      <c r="K89" s="383"/>
      <c r="L89" s="22">
        <f>L90+L93</f>
        <v>2940.5</v>
      </c>
      <c r="M89" s="22">
        <f>M90+M93</f>
        <v>3127.7</v>
      </c>
      <c r="N89" s="22">
        <f>N90+N93</f>
        <v>2120</v>
      </c>
      <c r="O89" s="22">
        <f t="shared" ref="O89:W89" si="59">O90+O93</f>
        <v>3328.3</v>
      </c>
      <c r="P89" s="22">
        <f t="shared" si="59"/>
        <v>3328.3</v>
      </c>
      <c r="Q89" s="22">
        <f t="shared" si="59"/>
        <v>0</v>
      </c>
      <c r="R89" s="22">
        <f t="shared" si="59"/>
        <v>3328.3</v>
      </c>
      <c r="S89" s="22">
        <f t="shared" si="59"/>
        <v>3328.3</v>
      </c>
      <c r="T89" s="22">
        <f t="shared" si="59"/>
        <v>0</v>
      </c>
      <c r="U89" s="22">
        <f t="shared" si="59"/>
        <v>3328.3</v>
      </c>
      <c r="V89" s="22">
        <f t="shared" si="59"/>
        <v>3328.3</v>
      </c>
      <c r="W89" s="22">
        <f t="shared" si="59"/>
        <v>0</v>
      </c>
    </row>
    <row r="90" spans="1:23" ht="37.5">
      <c r="A90" s="235" t="s">
        <v>10</v>
      </c>
      <c r="B90" s="229" t="s">
        <v>220</v>
      </c>
      <c r="C90" s="387"/>
      <c r="D90" s="383"/>
      <c r="E90" s="229"/>
      <c r="F90" s="229"/>
      <c r="G90" s="229"/>
      <c r="H90" s="250">
        <v>100</v>
      </c>
      <c r="I90" s="398"/>
      <c r="J90" s="387"/>
      <c r="K90" s="383"/>
      <c r="L90" s="22">
        <f>L91+L92</f>
        <v>2606.6</v>
      </c>
      <c r="M90" s="22">
        <f>M91+M92</f>
        <v>3001.8999999999996</v>
      </c>
      <c r="N90" s="22">
        <f>N91+N92</f>
        <v>2090</v>
      </c>
      <c r="O90" s="22">
        <f>P90+Q90</f>
        <v>3248.3</v>
      </c>
      <c r="P90" s="22">
        <f>P91+P92</f>
        <v>3248.3</v>
      </c>
      <c r="Q90" s="22">
        <v>0</v>
      </c>
      <c r="R90" s="22">
        <f>S90+T90</f>
        <v>3248.3</v>
      </c>
      <c r="S90" s="22">
        <f>S91+S92</f>
        <v>3248.3</v>
      </c>
      <c r="T90" s="22">
        <v>0</v>
      </c>
      <c r="U90" s="22">
        <f>V90+W90</f>
        <v>3248.3</v>
      </c>
      <c r="V90" s="22">
        <f>V91+V92</f>
        <v>3248.3</v>
      </c>
      <c r="W90" s="22">
        <v>0</v>
      </c>
    </row>
    <row r="91" spans="1:23" ht="409.5">
      <c r="A91" s="225"/>
      <c r="B91" s="229"/>
      <c r="C91" s="231" t="s">
        <v>959</v>
      </c>
      <c r="D91" s="218"/>
      <c r="E91" s="226" t="s">
        <v>92</v>
      </c>
      <c r="F91" s="226" t="s">
        <v>93</v>
      </c>
      <c r="G91" s="226" t="s">
        <v>1478</v>
      </c>
      <c r="H91" s="250">
        <v>100</v>
      </c>
      <c r="I91" s="230" t="s">
        <v>960</v>
      </c>
      <c r="J91" s="255" t="s">
        <v>961</v>
      </c>
      <c r="K91" s="255" t="s">
        <v>962</v>
      </c>
      <c r="L91" s="25">
        <v>1692.5</v>
      </c>
      <c r="M91" s="25">
        <v>1956.1</v>
      </c>
      <c r="N91" s="25">
        <v>1373.2</v>
      </c>
      <c r="O91" s="25">
        <f>SUM(P91:Q91)</f>
        <v>2128</v>
      </c>
      <c r="P91" s="25">
        <v>2128</v>
      </c>
      <c r="Q91" s="25">
        <v>0</v>
      </c>
      <c r="R91" s="25">
        <f>SUM(S91:T91)</f>
        <v>2128</v>
      </c>
      <c r="S91" s="25">
        <v>2128</v>
      </c>
      <c r="T91" s="25">
        <v>0</v>
      </c>
      <c r="U91" s="25">
        <f>SUM(V91:W91)</f>
        <v>2128</v>
      </c>
      <c r="V91" s="25">
        <v>2128</v>
      </c>
      <c r="W91" s="25">
        <v>0</v>
      </c>
    </row>
    <row r="92" spans="1:23">
      <c r="A92" s="225"/>
      <c r="B92" s="229"/>
      <c r="C92" s="440" t="s">
        <v>963</v>
      </c>
      <c r="D92" s="218"/>
      <c r="E92" s="226" t="s">
        <v>92</v>
      </c>
      <c r="F92" s="226" t="s">
        <v>93</v>
      </c>
      <c r="G92" s="226" t="s">
        <v>1479</v>
      </c>
      <c r="H92" s="250">
        <v>100</v>
      </c>
      <c r="I92" s="446" t="s">
        <v>964</v>
      </c>
      <c r="J92" s="471" t="s">
        <v>965</v>
      </c>
      <c r="K92" s="424"/>
      <c r="L92" s="25">
        <v>914.1</v>
      </c>
      <c r="M92" s="25">
        <v>1045.8</v>
      </c>
      <c r="N92" s="25">
        <v>716.8</v>
      </c>
      <c r="O92" s="25">
        <f>Q92+P92</f>
        <v>1120.3</v>
      </c>
      <c r="P92" s="25">
        <v>1120.3</v>
      </c>
      <c r="Q92" s="25">
        <v>0</v>
      </c>
      <c r="R92" s="25">
        <f>S92+T92</f>
        <v>1120.3</v>
      </c>
      <c r="S92" s="25">
        <v>1120.3</v>
      </c>
      <c r="T92" s="25">
        <v>0</v>
      </c>
      <c r="U92" s="25">
        <f>V92</f>
        <v>1120.3</v>
      </c>
      <c r="V92" s="25">
        <v>1120.3</v>
      </c>
      <c r="W92" s="25">
        <v>0</v>
      </c>
    </row>
    <row r="93" spans="1:23">
      <c r="A93" s="403" t="s">
        <v>11</v>
      </c>
      <c r="B93" s="427" t="s">
        <v>69</v>
      </c>
      <c r="C93" s="440"/>
      <c r="D93" s="375"/>
      <c r="E93" s="226"/>
      <c r="F93" s="226"/>
      <c r="G93" s="226"/>
      <c r="H93" s="434">
        <v>200</v>
      </c>
      <c r="I93" s="446"/>
      <c r="J93" s="471"/>
      <c r="K93" s="424"/>
      <c r="L93" s="22">
        <f>L94+L95</f>
        <v>333.9</v>
      </c>
      <c r="M93" s="22">
        <f>M94+M95</f>
        <v>125.80000000000001</v>
      </c>
      <c r="N93" s="22">
        <f>N94+N95</f>
        <v>30</v>
      </c>
      <c r="O93" s="22">
        <f>SUM(P93:Q93)</f>
        <v>80</v>
      </c>
      <c r="P93" s="22">
        <f>P94+P95</f>
        <v>80</v>
      </c>
      <c r="Q93" s="22">
        <f>Q94+Q95</f>
        <v>0</v>
      </c>
      <c r="R93" s="22">
        <f>SUM(S93:T93)</f>
        <v>80</v>
      </c>
      <c r="S93" s="22">
        <f>S94+S95</f>
        <v>80</v>
      </c>
      <c r="T93" s="22">
        <f>T94+T95</f>
        <v>0</v>
      </c>
      <c r="U93" s="22">
        <f>SUM(V93:W93)</f>
        <v>80</v>
      </c>
      <c r="V93" s="22">
        <f>V94+V95</f>
        <v>80</v>
      </c>
      <c r="W93" s="22">
        <f>W94+W95</f>
        <v>0</v>
      </c>
    </row>
    <row r="94" spans="1:23">
      <c r="A94" s="403"/>
      <c r="B94" s="427"/>
      <c r="C94" s="224"/>
      <c r="D94" s="375"/>
      <c r="E94" s="226" t="s">
        <v>92</v>
      </c>
      <c r="F94" s="226" t="s">
        <v>93</v>
      </c>
      <c r="G94" s="226" t="s">
        <v>1479</v>
      </c>
      <c r="H94" s="434"/>
      <c r="I94" s="446"/>
      <c r="J94" s="471"/>
      <c r="K94" s="424"/>
      <c r="L94" s="25">
        <v>111.2</v>
      </c>
      <c r="M94" s="25">
        <v>44.6</v>
      </c>
      <c r="N94" s="25">
        <v>30</v>
      </c>
      <c r="O94" s="25">
        <f>P94+Q94</f>
        <v>40</v>
      </c>
      <c r="P94" s="25">
        <v>40</v>
      </c>
      <c r="Q94" s="25">
        <v>0</v>
      </c>
      <c r="R94" s="25">
        <f>S94+T94</f>
        <v>40</v>
      </c>
      <c r="S94" s="25">
        <v>40</v>
      </c>
      <c r="T94" s="25">
        <v>0</v>
      </c>
      <c r="U94" s="25">
        <f>V94+W94</f>
        <v>40</v>
      </c>
      <c r="V94" s="25">
        <v>40</v>
      </c>
      <c r="W94" s="25">
        <v>0</v>
      </c>
    </row>
    <row r="95" spans="1:23">
      <c r="A95" s="403"/>
      <c r="B95" s="427"/>
      <c r="C95" s="224"/>
      <c r="D95" s="375"/>
      <c r="E95" s="226" t="s">
        <v>92</v>
      </c>
      <c r="F95" s="226" t="s">
        <v>93</v>
      </c>
      <c r="G95" s="226" t="s">
        <v>1478</v>
      </c>
      <c r="H95" s="434"/>
      <c r="I95" s="230"/>
      <c r="J95" s="238"/>
      <c r="K95" s="218"/>
      <c r="L95" s="25">
        <v>222.7</v>
      </c>
      <c r="M95" s="25">
        <v>81.2</v>
      </c>
      <c r="N95" s="25">
        <v>0</v>
      </c>
      <c r="O95" s="25">
        <f>P95+Q95</f>
        <v>40</v>
      </c>
      <c r="P95" s="25">
        <v>40</v>
      </c>
      <c r="Q95" s="25">
        <v>0</v>
      </c>
      <c r="R95" s="25">
        <f>S95+T95</f>
        <v>40</v>
      </c>
      <c r="S95" s="25">
        <v>40</v>
      </c>
      <c r="T95" s="25">
        <v>0</v>
      </c>
      <c r="U95" s="25">
        <f>V95+W95</f>
        <v>40</v>
      </c>
      <c r="V95" s="25">
        <v>40</v>
      </c>
      <c r="W95" s="25">
        <v>0</v>
      </c>
    </row>
    <row r="96" spans="1:23">
      <c r="A96" s="416" t="s">
        <v>73</v>
      </c>
      <c r="B96" s="416"/>
      <c r="C96" s="416"/>
      <c r="D96" s="416"/>
      <c r="E96" s="416"/>
      <c r="F96" s="416"/>
      <c r="G96" s="416"/>
      <c r="H96" s="416"/>
      <c r="I96" s="416"/>
      <c r="J96" s="416"/>
      <c r="K96" s="416"/>
      <c r="L96" s="28">
        <f>SUM(L97)</f>
        <v>365.1</v>
      </c>
      <c r="M96" s="28">
        <f t="shared" ref="M96:W96" si="60">SUM(M97)</f>
        <v>8</v>
      </c>
      <c r="N96" s="28">
        <f t="shared" si="60"/>
        <v>0</v>
      </c>
      <c r="O96" s="28">
        <f t="shared" si="60"/>
        <v>29.6</v>
      </c>
      <c r="P96" s="28">
        <f t="shared" si="60"/>
        <v>29.6</v>
      </c>
      <c r="Q96" s="28">
        <f t="shared" si="60"/>
        <v>0</v>
      </c>
      <c r="R96" s="28">
        <f t="shared" si="60"/>
        <v>31.3</v>
      </c>
      <c r="S96" s="28">
        <f t="shared" si="60"/>
        <v>31.3</v>
      </c>
      <c r="T96" s="28">
        <f t="shared" si="60"/>
        <v>0</v>
      </c>
      <c r="U96" s="28">
        <f t="shared" si="60"/>
        <v>295.2</v>
      </c>
      <c r="V96" s="28">
        <f t="shared" si="60"/>
        <v>295.2</v>
      </c>
      <c r="W96" s="28">
        <f t="shared" si="60"/>
        <v>0</v>
      </c>
    </row>
    <row r="97" spans="1:23" ht="37.5">
      <c r="A97" s="225" t="s">
        <v>21</v>
      </c>
      <c r="B97" s="229" t="s">
        <v>89</v>
      </c>
      <c r="C97" s="374"/>
      <c r="D97" s="375"/>
      <c r="E97" s="229"/>
      <c r="F97" s="229"/>
      <c r="G97" s="229"/>
      <c r="H97" s="250">
        <v>200</v>
      </c>
      <c r="I97" s="398"/>
      <c r="J97" s="374"/>
      <c r="K97" s="375"/>
      <c r="L97" s="25">
        <f>L98</f>
        <v>365.1</v>
      </c>
      <c r="M97" s="25">
        <f>M98</f>
        <v>8</v>
      </c>
      <c r="N97" s="25">
        <f t="shared" ref="N97:W97" si="61">SUM(N98:N98)</f>
        <v>0</v>
      </c>
      <c r="O97" s="25">
        <f t="shared" si="61"/>
        <v>29.6</v>
      </c>
      <c r="P97" s="25">
        <f t="shared" si="61"/>
        <v>29.6</v>
      </c>
      <c r="Q97" s="25">
        <f t="shared" si="61"/>
        <v>0</v>
      </c>
      <c r="R97" s="25">
        <f t="shared" si="61"/>
        <v>31.3</v>
      </c>
      <c r="S97" s="25">
        <f t="shared" si="61"/>
        <v>31.3</v>
      </c>
      <c r="T97" s="25">
        <f t="shared" si="61"/>
        <v>0</v>
      </c>
      <c r="U97" s="25">
        <f t="shared" si="61"/>
        <v>295.2</v>
      </c>
      <c r="V97" s="25">
        <f t="shared" si="61"/>
        <v>295.2</v>
      </c>
      <c r="W97" s="25">
        <f t="shared" si="61"/>
        <v>0</v>
      </c>
    </row>
    <row r="98" spans="1:23" ht="93.75">
      <c r="A98" s="170" t="s">
        <v>42</v>
      </c>
      <c r="B98" s="172" t="s">
        <v>1480</v>
      </c>
      <c r="C98" s="186"/>
      <c r="D98" s="187"/>
      <c r="E98" s="214" t="s">
        <v>92</v>
      </c>
      <c r="F98" s="214" t="s">
        <v>98</v>
      </c>
      <c r="G98" s="214" t="s">
        <v>966</v>
      </c>
      <c r="H98" s="213">
        <v>200</v>
      </c>
      <c r="I98" s="230" t="s">
        <v>967</v>
      </c>
      <c r="J98" s="230" t="s">
        <v>968</v>
      </c>
      <c r="K98" s="375"/>
      <c r="L98" s="203">
        <v>365.1</v>
      </c>
      <c r="M98" s="203">
        <v>8</v>
      </c>
      <c r="N98" s="203">
        <v>0</v>
      </c>
      <c r="O98" s="203">
        <f>SUM(P98:Q98)</f>
        <v>29.6</v>
      </c>
      <c r="P98" s="203">
        <v>29.6</v>
      </c>
      <c r="Q98" s="203">
        <v>0</v>
      </c>
      <c r="R98" s="203">
        <f>SUM(S98:T98)</f>
        <v>31.3</v>
      </c>
      <c r="S98" s="203">
        <v>31.3</v>
      </c>
      <c r="T98" s="203">
        <v>0</v>
      </c>
      <c r="U98" s="203">
        <f>SUM(V98:W98)</f>
        <v>295.2</v>
      </c>
      <c r="V98" s="203">
        <v>295.2</v>
      </c>
      <c r="W98" s="203">
        <v>0</v>
      </c>
    </row>
    <row r="99" spans="1:23">
      <c r="A99" s="234" t="s">
        <v>15</v>
      </c>
      <c r="B99" s="720" t="s">
        <v>16</v>
      </c>
      <c r="C99" s="660"/>
      <c r="D99" s="664"/>
      <c r="E99" s="720"/>
      <c r="F99" s="720"/>
      <c r="G99" s="720"/>
      <c r="H99" s="662">
        <v>300</v>
      </c>
      <c r="I99" s="721"/>
      <c r="J99" s="660"/>
      <c r="K99" s="664"/>
      <c r="L99" s="680">
        <f>SUM(L100,)</f>
        <v>3198.7</v>
      </c>
      <c r="M99" s="680">
        <f t="shared" ref="M99:W99" si="62">SUM(M100,)</f>
        <v>8083</v>
      </c>
      <c r="N99" s="680">
        <f t="shared" si="62"/>
        <v>8083</v>
      </c>
      <c r="O99" s="680">
        <f t="shared" si="62"/>
        <v>2187.1999999999998</v>
      </c>
      <c r="P99" s="680">
        <f t="shared" si="62"/>
        <v>2187.1999999999998</v>
      </c>
      <c r="Q99" s="680">
        <f t="shared" si="62"/>
        <v>0</v>
      </c>
      <c r="R99" s="680">
        <f t="shared" si="62"/>
        <v>2285.6</v>
      </c>
      <c r="S99" s="680">
        <f t="shared" si="62"/>
        <v>2285.6</v>
      </c>
      <c r="T99" s="680">
        <f t="shared" si="62"/>
        <v>0</v>
      </c>
      <c r="U99" s="680">
        <f t="shared" si="62"/>
        <v>4758.6000000000004</v>
      </c>
      <c r="V99" s="680">
        <f t="shared" si="62"/>
        <v>4758.6000000000004</v>
      </c>
      <c r="W99" s="680">
        <f t="shared" si="62"/>
        <v>0</v>
      </c>
    </row>
    <row r="100" spans="1:23" ht="56.25">
      <c r="A100" s="235" t="s">
        <v>18</v>
      </c>
      <c r="B100" s="205" t="s">
        <v>47</v>
      </c>
      <c r="C100" s="31"/>
      <c r="D100" s="32"/>
      <c r="E100" s="205"/>
      <c r="F100" s="205"/>
      <c r="G100" s="205"/>
      <c r="H100" s="257">
        <v>320</v>
      </c>
      <c r="I100" s="745"/>
      <c r="J100" s="31"/>
      <c r="K100" s="32"/>
      <c r="L100" s="22">
        <f>SUM(L101:L102)+L103</f>
        <v>3198.7</v>
      </c>
      <c r="M100" s="22">
        <f t="shared" ref="M100:W100" si="63">SUM(M101:M102)+M103</f>
        <v>8083</v>
      </c>
      <c r="N100" s="22">
        <f t="shared" si="63"/>
        <v>8083</v>
      </c>
      <c r="O100" s="22">
        <f t="shared" si="63"/>
        <v>2187.1999999999998</v>
      </c>
      <c r="P100" s="22">
        <f t="shared" si="63"/>
        <v>2187.1999999999998</v>
      </c>
      <c r="Q100" s="22">
        <f t="shared" si="63"/>
        <v>0</v>
      </c>
      <c r="R100" s="22">
        <f t="shared" si="63"/>
        <v>2285.6</v>
      </c>
      <c r="S100" s="22">
        <f t="shared" si="63"/>
        <v>2285.6</v>
      </c>
      <c r="T100" s="22">
        <f t="shared" si="63"/>
        <v>0</v>
      </c>
      <c r="U100" s="22">
        <f t="shared" si="63"/>
        <v>4758.6000000000004</v>
      </c>
      <c r="V100" s="22">
        <f t="shared" si="63"/>
        <v>4758.6000000000004</v>
      </c>
      <c r="W100" s="22">
        <f t="shared" si="63"/>
        <v>0</v>
      </c>
    </row>
    <row r="101" spans="1:23" ht="150">
      <c r="A101" s="269" t="s">
        <v>12</v>
      </c>
      <c r="B101" s="30" t="s">
        <v>1530</v>
      </c>
      <c r="C101" s="387"/>
      <c r="D101" s="383"/>
      <c r="E101" s="226" t="s">
        <v>80</v>
      </c>
      <c r="F101" s="226" t="s">
        <v>95</v>
      </c>
      <c r="G101" s="226" t="s">
        <v>969</v>
      </c>
      <c r="H101" s="226" t="s">
        <v>176</v>
      </c>
      <c r="I101" s="446" t="s">
        <v>970</v>
      </c>
      <c r="J101" s="471" t="s">
        <v>971</v>
      </c>
      <c r="K101" s="406"/>
      <c r="L101" s="25">
        <v>1599.3</v>
      </c>
      <c r="M101" s="25">
        <v>2031.2</v>
      </c>
      <c r="N101" s="25">
        <v>2031.2</v>
      </c>
      <c r="O101" s="25">
        <f>P101</f>
        <v>0</v>
      </c>
      <c r="P101" s="25">
        <v>0</v>
      </c>
      <c r="Q101" s="25">
        <v>0</v>
      </c>
      <c r="R101" s="25">
        <f>S101</f>
        <v>0</v>
      </c>
      <c r="S101" s="25">
        <v>0</v>
      </c>
      <c r="T101" s="25">
        <v>0</v>
      </c>
      <c r="U101" s="25">
        <f>V101</f>
        <v>0</v>
      </c>
      <c r="V101" s="25">
        <v>0</v>
      </c>
      <c r="W101" s="25">
        <v>0</v>
      </c>
    </row>
    <row r="102" spans="1:23" ht="206.25">
      <c r="A102" s="269" t="s">
        <v>13</v>
      </c>
      <c r="B102" s="30" t="s">
        <v>1531</v>
      </c>
      <c r="C102" s="387"/>
      <c r="D102" s="383"/>
      <c r="E102" s="226" t="s">
        <v>80</v>
      </c>
      <c r="F102" s="226" t="s">
        <v>95</v>
      </c>
      <c r="G102" s="226" t="s">
        <v>1481</v>
      </c>
      <c r="H102" s="226" t="s">
        <v>176</v>
      </c>
      <c r="I102" s="446"/>
      <c r="J102" s="471"/>
      <c r="K102" s="406"/>
      <c r="L102" s="25">
        <v>0</v>
      </c>
      <c r="M102" s="25">
        <v>0</v>
      </c>
      <c r="N102" s="25">
        <v>0</v>
      </c>
      <c r="O102" s="25">
        <f>P102+Q102</f>
        <v>2187.1999999999998</v>
      </c>
      <c r="P102" s="25">
        <v>2187.1999999999998</v>
      </c>
      <c r="Q102" s="25">
        <v>0</v>
      </c>
      <c r="R102" s="25">
        <v>0</v>
      </c>
      <c r="S102" s="25">
        <v>0</v>
      </c>
      <c r="T102" s="25">
        <v>0</v>
      </c>
      <c r="U102" s="25">
        <v>0</v>
      </c>
      <c r="V102" s="25">
        <v>0</v>
      </c>
      <c r="W102" s="25">
        <v>0</v>
      </c>
    </row>
    <row r="103" spans="1:23" ht="187.5">
      <c r="A103" s="269" t="s">
        <v>154</v>
      </c>
      <c r="B103" s="30" t="s">
        <v>1532</v>
      </c>
      <c r="C103" s="387"/>
      <c r="D103" s="383"/>
      <c r="E103" s="226" t="s">
        <v>80</v>
      </c>
      <c r="F103" s="226" t="s">
        <v>95</v>
      </c>
      <c r="G103" s="226" t="s">
        <v>972</v>
      </c>
      <c r="H103" s="226" t="s">
        <v>176</v>
      </c>
      <c r="I103" s="230" t="s">
        <v>973</v>
      </c>
      <c r="J103" s="238" t="s">
        <v>974</v>
      </c>
      <c r="K103" s="383"/>
      <c r="L103" s="25">
        <v>1599.4</v>
      </c>
      <c r="M103" s="25">
        <v>6051.8</v>
      </c>
      <c r="N103" s="25">
        <v>6051.8</v>
      </c>
      <c r="O103" s="25">
        <f>P103+Q103</f>
        <v>0</v>
      </c>
      <c r="P103" s="25">
        <v>0</v>
      </c>
      <c r="Q103" s="25">
        <v>0</v>
      </c>
      <c r="R103" s="25">
        <f>S103+T103</f>
        <v>2285.6</v>
      </c>
      <c r="S103" s="25">
        <v>2285.6</v>
      </c>
      <c r="T103" s="25">
        <v>0</v>
      </c>
      <c r="U103" s="25">
        <f>V103+W103</f>
        <v>4758.6000000000004</v>
      </c>
      <c r="V103" s="25">
        <v>4758.6000000000004</v>
      </c>
      <c r="W103" s="25">
        <v>0</v>
      </c>
    </row>
    <row r="104" spans="1:23">
      <c r="A104" s="746"/>
      <c r="B104" s="747"/>
      <c r="C104" s="748"/>
      <c r="D104" s="749"/>
      <c r="E104" s="750"/>
      <c r="F104" s="750"/>
      <c r="G104" s="750"/>
      <c r="H104" s="750"/>
      <c r="I104" s="751"/>
      <c r="J104" s="752"/>
      <c r="K104" s="753"/>
      <c r="L104" s="11"/>
      <c r="M104" s="11"/>
      <c r="N104" s="11"/>
      <c r="O104" s="11"/>
      <c r="P104" s="11"/>
      <c r="Q104" s="11"/>
      <c r="R104" s="11"/>
      <c r="S104" s="11"/>
      <c r="T104" s="11"/>
      <c r="U104" s="11"/>
      <c r="V104" s="11"/>
      <c r="W104" s="11"/>
    </row>
    <row r="105" spans="1:23">
      <c r="B105" s="754" t="s">
        <v>397</v>
      </c>
      <c r="C105" s="755"/>
      <c r="D105" s="365"/>
      <c r="E105" s="756"/>
      <c r="G105" s="757" t="s">
        <v>1100</v>
      </c>
      <c r="H105" s="757"/>
      <c r="I105" s="363"/>
    </row>
    <row r="106" spans="1:23">
      <c r="B106" s="754" t="s">
        <v>223</v>
      </c>
      <c r="C106" s="758"/>
      <c r="D106" s="366"/>
      <c r="E106" s="756"/>
      <c r="F106" s="756"/>
      <c r="G106" s="756"/>
      <c r="H106" s="756"/>
      <c r="I106" s="363"/>
    </row>
    <row r="107" spans="1:23">
      <c r="B107" s="754"/>
      <c r="C107" s="758"/>
      <c r="D107" s="366"/>
      <c r="E107" s="756"/>
      <c r="F107" s="756"/>
      <c r="G107" s="756"/>
      <c r="H107" s="756"/>
      <c r="I107" s="363"/>
    </row>
    <row r="108" spans="1:23">
      <c r="B108" s="754" t="s">
        <v>292</v>
      </c>
      <c r="C108" s="758"/>
      <c r="D108" s="370" t="s">
        <v>91</v>
      </c>
      <c r="E108" s="756"/>
      <c r="F108" s="756"/>
      <c r="G108" s="759" t="s">
        <v>1529</v>
      </c>
      <c r="H108" s="756"/>
      <c r="I108" s="363"/>
    </row>
    <row r="109" spans="1:23">
      <c r="B109" s="150" t="s">
        <v>293</v>
      </c>
      <c r="C109" s="705"/>
    </row>
  </sheetData>
  <autoFilter ref="A12:W103"/>
  <mergeCells count="46">
    <mergeCell ref="A6:A9"/>
    <mergeCell ref="B26:K26"/>
    <mergeCell ref="A27:K27"/>
    <mergeCell ref="G105:H105"/>
    <mergeCell ref="B31:K31"/>
    <mergeCell ref="U10:W10"/>
    <mergeCell ref="L6:W7"/>
    <mergeCell ref="L8:L9"/>
    <mergeCell ref="M8:M9"/>
    <mergeCell ref="N8:N9"/>
    <mergeCell ref="O8:Q8"/>
    <mergeCell ref="R8:T8"/>
    <mergeCell ref="O10:Q10"/>
    <mergeCell ref="R10:T10"/>
    <mergeCell ref="P1:W2"/>
    <mergeCell ref="B3:V3"/>
    <mergeCell ref="I6:I9"/>
    <mergeCell ref="J6:J9"/>
    <mergeCell ref="K6:K9"/>
    <mergeCell ref="U8:W8"/>
    <mergeCell ref="B6:B9"/>
    <mergeCell ref="C6:C9"/>
    <mergeCell ref="D6:D9"/>
    <mergeCell ref="E6:H6"/>
    <mergeCell ref="E7:E9"/>
    <mergeCell ref="F7:F9"/>
    <mergeCell ref="G7:G9"/>
    <mergeCell ref="H7:H9"/>
    <mergeCell ref="B14:K14"/>
    <mergeCell ref="I64:I65"/>
    <mergeCell ref="B69:K69"/>
    <mergeCell ref="B73:K73"/>
    <mergeCell ref="B88:K88"/>
    <mergeCell ref="A18:K18"/>
    <mergeCell ref="A19:K19"/>
    <mergeCell ref="A96:K96"/>
    <mergeCell ref="I101:I102"/>
    <mergeCell ref="J101:J102"/>
    <mergeCell ref="K101:K102"/>
    <mergeCell ref="C92:C93"/>
    <mergeCell ref="I92:I94"/>
    <mergeCell ref="J92:J94"/>
    <mergeCell ref="K92:K94"/>
    <mergeCell ref="A93:A95"/>
    <mergeCell ref="B93:B95"/>
    <mergeCell ref="H93:H95"/>
  </mergeCells>
  <printOptions horizontalCentered="1"/>
  <pageMargins left="0.23622047244094491" right="0.19685039370078741" top="0.94488188976377963" bottom="0.82677165354330717" header="0.15748031496062992" footer="0.23622047244094491"/>
  <pageSetup paperSize="9" scale="35" fitToHeight="10" orientation="landscape" verticalDpi="4294967295" r:id="rId1"/>
  <headerFooter differentOddEven="1">
    <oddFooter>&amp;R
&amp;A ,страница &amp;P</oddFooter>
    <evenHeader>&amp;R
&amp;A ,страница &amp;P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Таблица 1</vt:lpstr>
      <vt:lpstr>Таблица 2</vt:lpstr>
      <vt:lpstr>'Таблица 1'!Заголовки_для_печати</vt:lpstr>
      <vt:lpstr>'Таблица 2'!Заголовки_для_печати</vt:lpstr>
      <vt:lpstr>'Таблица 1'!Область_печати</vt:lpstr>
      <vt:lpstr>'Таблица 2'!Область_печати</vt:lpstr>
    </vt:vector>
  </TitlesOfParts>
  <Company>findep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afr</dc:creator>
  <cp:lastModifiedBy>User</cp:lastModifiedBy>
  <cp:lastPrinted>2023-11-13T10:23:04Z</cp:lastPrinted>
  <dcterms:created xsi:type="dcterms:W3CDTF">2009-04-29T09:54:58Z</dcterms:created>
  <dcterms:modified xsi:type="dcterms:W3CDTF">2023-11-13T11:05:04Z</dcterms:modified>
</cp:coreProperties>
</file>